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Базжина\Desktop\2017-2019 годы8\2020 ГОД\new\"/>
    </mc:Choice>
  </mc:AlternateContent>
  <xr:revisionPtr revIDLastSave="0" documentId="8_{B2873CC5-4DC3-439A-95D1-FB18CFCD26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8" r:id="rId5"/>
    <sheet name="Перечень_бонусы" sheetId="9" r:id="rId6"/>
    <sheet name="Планируемые показат_бонусы" sheetId="10" r:id="rId7"/>
  </sheets>
  <definedNames>
    <definedName name="_xlnm._FilterDatabase" localSheetId="1" hidden="1">Перечень!$A$14:$GL$1234</definedName>
    <definedName name="_xlnm._FilterDatabase" localSheetId="5" hidden="1">Перечень_бонусы!$A$10:$Q$194</definedName>
    <definedName name="_xlnm._FilterDatabase" localSheetId="3" hidden="1">'Плановые показатели'!$A$9:$K$201</definedName>
    <definedName name="_xlnm._FilterDatabase" localSheetId="0" hidden="1">Реестр!$A$18:$CH$1241</definedName>
    <definedName name="_xlnm._FilterDatabase" localSheetId="4" hidden="1">Реестр_бонусы!$A$9:$AK$195</definedName>
    <definedName name="_xlnm.Print_Area" localSheetId="1">Перечень!$B$1:$U$1234</definedName>
    <definedName name="_xlnm.Print_Area" localSheetId="0">Реестр!$B$1:$BW$1241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5" i="5" l="1"/>
  <c r="N152" i="7"/>
  <c r="K1026" i="3"/>
  <c r="B696" i="3"/>
  <c r="AS696" i="3"/>
  <c r="T696" i="3"/>
  <c r="U696" i="3" s="1"/>
  <c r="V696" i="3" s="1"/>
  <c r="S696" i="3"/>
  <c r="AS695" i="3"/>
  <c r="AH695" i="3"/>
  <c r="AA695" i="3"/>
  <c r="Y695" i="3" s="1"/>
  <c r="T695" i="3"/>
  <c r="V695" i="3" s="1"/>
  <c r="S695" i="3"/>
  <c r="K695" i="3"/>
  <c r="B695" i="3"/>
  <c r="B702" i="7"/>
  <c r="N702" i="7"/>
  <c r="AC702" i="7" s="1"/>
  <c r="D702" i="7" s="1"/>
  <c r="AD701" i="7"/>
  <c r="AC701" i="7"/>
  <c r="B701" i="7"/>
  <c r="F123" i="5"/>
  <c r="T916" i="3"/>
  <c r="U916" i="3" s="1"/>
  <c r="F61" i="5"/>
  <c r="F166" i="5"/>
  <c r="AA20" i="3"/>
  <c r="D701" i="7" l="1"/>
  <c r="Y1234" i="3"/>
  <c r="P1234" i="3"/>
  <c r="AC1241" i="7"/>
  <c r="T1232" i="3"/>
  <c r="U1231" i="3"/>
  <c r="S1231" i="3"/>
  <c r="R1231" i="3"/>
  <c r="Q1231" i="3"/>
  <c r="P1231" i="3"/>
  <c r="L1231" i="3"/>
  <c r="K1231" i="3"/>
  <c r="J1231" i="3"/>
  <c r="I1231" i="3"/>
  <c r="AC1239" i="7"/>
  <c r="AC1238" i="7" s="1"/>
  <c r="AE1238" i="7"/>
  <c r="AD1238" i="7"/>
  <c r="AB1238" i="7"/>
  <c r="AA1238" i="7"/>
  <c r="Z1238" i="7"/>
  <c r="Y1238" i="7"/>
  <c r="X1238" i="7"/>
  <c r="W1238" i="7"/>
  <c r="V1238" i="7"/>
  <c r="U1238" i="7"/>
  <c r="T1238" i="7"/>
  <c r="S1238" i="7"/>
  <c r="R1238" i="7"/>
  <c r="Q1238" i="7"/>
  <c r="P1238" i="7"/>
  <c r="O1238" i="7"/>
  <c r="N1238" i="7"/>
  <c r="M1238" i="7"/>
  <c r="L1238" i="7"/>
  <c r="K1238" i="7"/>
  <c r="J1238" i="7"/>
  <c r="I1238" i="7"/>
  <c r="H1238" i="7"/>
  <c r="G1238" i="7"/>
  <c r="F1238" i="7"/>
  <c r="E1238" i="7"/>
  <c r="D1238" i="7"/>
  <c r="T1231" i="3" l="1"/>
  <c r="T223" i="3"/>
  <c r="N1127" i="7" l="1"/>
  <c r="N1125" i="7" s="1"/>
  <c r="R1119" i="3"/>
  <c r="Q1119" i="3"/>
  <c r="L1119" i="3"/>
  <c r="K1119" i="3"/>
  <c r="J1119" i="3"/>
  <c r="I1119" i="3"/>
  <c r="T1119" i="3" s="1"/>
  <c r="AS1120" i="3"/>
  <c r="AH1120" i="3"/>
  <c r="AA1120" i="3"/>
  <c r="Y1120" i="3" s="1"/>
  <c r="U1119" i="3" s="1"/>
  <c r="T1120" i="3"/>
  <c r="S1120" i="3"/>
  <c r="B1120" i="3"/>
  <c r="AE1125" i="7"/>
  <c r="AD1125" i="7"/>
  <c r="AB1125" i="7"/>
  <c r="AA1125" i="7"/>
  <c r="Z1125" i="7"/>
  <c r="Y1125" i="7"/>
  <c r="X1125" i="7"/>
  <c r="W1125" i="7"/>
  <c r="V1125" i="7"/>
  <c r="U1125" i="7"/>
  <c r="T1125" i="7"/>
  <c r="S1125" i="7"/>
  <c r="R1125" i="7"/>
  <c r="Q1125" i="7"/>
  <c r="P1125" i="7"/>
  <c r="O1125" i="7"/>
  <c r="M1125" i="7"/>
  <c r="L1125" i="7"/>
  <c r="K1125" i="7"/>
  <c r="J1125" i="7"/>
  <c r="I1125" i="7"/>
  <c r="H1125" i="7"/>
  <c r="G1125" i="7"/>
  <c r="F1125" i="7"/>
  <c r="E1125" i="7"/>
  <c r="AC1126" i="7"/>
  <c r="D1126" i="7" s="1"/>
  <c r="B1126" i="7"/>
  <c r="AS1226" i="3"/>
  <c r="AH1226" i="3"/>
  <c r="AG1226" i="3" s="1"/>
  <c r="AA1226" i="3"/>
  <c r="Y1226" i="3" s="1"/>
  <c r="U1226" i="3" s="1"/>
  <c r="T1226" i="3"/>
  <c r="S1226" i="3"/>
  <c r="S1225" i="3" s="1"/>
  <c r="B1226" i="3"/>
  <c r="AS1225" i="3"/>
  <c r="AH1225" i="3"/>
  <c r="AA1225" i="3"/>
  <c r="R1225" i="3"/>
  <c r="Q1225" i="3"/>
  <c r="L1225" i="3"/>
  <c r="K1225" i="3"/>
  <c r="J1225" i="3"/>
  <c r="I1225" i="3"/>
  <c r="T1225" i="3" s="1"/>
  <c r="AS1224" i="3"/>
  <c r="AH1224" i="3"/>
  <c r="AA1224" i="3"/>
  <c r="Y1224" i="3" s="1"/>
  <c r="U1224" i="3" s="1"/>
  <c r="T1224" i="3"/>
  <c r="S1224" i="3"/>
  <c r="B1224" i="3"/>
  <c r="AS1223" i="3"/>
  <c r="AH1223" i="3"/>
  <c r="AA1223" i="3"/>
  <c r="Y1223" i="3" s="1"/>
  <c r="U1223" i="3" s="1"/>
  <c r="T1223" i="3"/>
  <c r="S1223" i="3"/>
  <c r="B1223" i="3"/>
  <c r="AS1222" i="3"/>
  <c r="AH1222" i="3"/>
  <c r="AA1222" i="3"/>
  <c r="Y1222" i="3" s="1"/>
  <c r="U1222" i="3" s="1"/>
  <c r="T1222" i="3"/>
  <c r="S1222" i="3"/>
  <c r="B1222" i="3"/>
  <c r="AS1221" i="3"/>
  <c r="AH1221" i="3"/>
  <c r="AA1221" i="3"/>
  <c r="R1221" i="3"/>
  <c r="Q1221" i="3"/>
  <c r="L1221" i="3"/>
  <c r="K1221" i="3"/>
  <c r="J1221" i="3"/>
  <c r="I1221" i="3"/>
  <c r="T1221" i="3" s="1"/>
  <c r="AS1220" i="3"/>
  <c r="AH1220" i="3"/>
  <c r="AA1220" i="3"/>
  <c r="Y1220" i="3" s="1"/>
  <c r="T1220" i="3"/>
  <c r="U1220" i="3" s="1"/>
  <c r="V1220" i="3" s="1"/>
  <c r="S1220" i="3"/>
  <c r="S1219" i="3" s="1"/>
  <c r="B1220" i="3"/>
  <c r="AS1219" i="3"/>
  <c r="AH1219" i="3"/>
  <c r="AA1219" i="3"/>
  <c r="R1219" i="3"/>
  <c r="Q1219" i="3"/>
  <c r="L1219" i="3"/>
  <c r="K1219" i="3"/>
  <c r="J1219" i="3"/>
  <c r="I1219" i="3"/>
  <c r="T1219" i="3" s="1"/>
  <c r="U1219" i="3" s="1"/>
  <c r="V1219" i="3" s="1"/>
  <c r="AS1218" i="3"/>
  <c r="AH1218" i="3"/>
  <c r="AG1218" i="3" s="1"/>
  <c r="AA1218" i="3"/>
  <c r="Y1218" i="3" s="1"/>
  <c r="T1218" i="3"/>
  <c r="S1218" i="3"/>
  <c r="S1217" i="3" s="1"/>
  <c r="B1218" i="3"/>
  <c r="AS1217" i="3"/>
  <c r="AH1217" i="3"/>
  <c r="AA1217" i="3"/>
  <c r="R1217" i="3"/>
  <c r="Q1217" i="3"/>
  <c r="L1217" i="3"/>
  <c r="K1217" i="3"/>
  <c r="J1217" i="3"/>
  <c r="I1217" i="3"/>
  <c r="T1217" i="3" s="1"/>
  <c r="AS1216" i="3"/>
  <c r="AH1216" i="3"/>
  <c r="AA1216" i="3"/>
  <c r="Y1216" i="3" s="1"/>
  <c r="T1216" i="3"/>
  <c r="U1216" i="3" s="1"/>
  <c r="V1216" i="3" s="1"/>
  <c r="S1216" i="3"/>
  <c r="S1215" i="3" s="1"/>
  <c r="B1216" i="3"/>
  <c r="AS1215" i="3"/>
  <c r="AH1215" i="3"/>
  <c r="AA1215" i="3"/>
  <c r="R1215" i="3"/>
  <c r="Q1215" i="3"/>
  <c r="L1215" i="3"/>
  <c r="K1215" i="3"/>
  <c r="J1215" i="3"/>
  <c r="I1215" i="3"/>
  <c r="T1215" i="3" s="1"/>
  <c r="U1215" i="3" s="1"/>
  <c r="V1215" i="3" s="1"/>
  <c r="AS1214" i="3"/>
  <c r="AH1214" i="3"/>
  <c r="AG1214" i="3" s="1"/>
  <c r="U1214" i="3" s="1"/>
  <c r="AA1214" i="3"/>
  <c r="Y1214" i="3" s="1"/>
  <c r="T1214" i="3"/>
  <c r="S1214" i="3"/>
  <c r="B1214" i="3"/>
  <c r="AS1213" i="3"/>
  <c r="AH1213" i="3"/>
  <c r="AG1213" i="3" s="1"/>
  <c r="U1213" i="3" s="1"/>
  <c r="AA1213" i="3"/>
  <c r="Y1213" i="3" s="1"/>
  <c r="T1213" i="3"/>
  <c r="S1213" i="3"/>
  <c r="B1213" i="3"/>
  <c r="AS1212" i="3"/>
  <c r="AH1212" i="3"/>
  <c r="AA1212" i="3"/>
  <c r="Y1212" i="3" s="1"/>
  <c r="U1212" i="3" s="1"/>
  <c r="T1212" i="3"/>
  <c r="S1212" i="3"/>
  <c r="B1212" i="3"/>
  <c r="AS1211" i="3"/>
  <c r="AH1211" i="3"/>
  <c r="AA1211" i="3"/>
  <c r="R1211" i="3"/>
  <c r="Q1211" i="3"/>
  <c r="L1211" i="3"/>
  <c r="K1211" i="3"/>
  <c r="J1211" i="3"/>
  <c r="I1211" i="3"/>
  <c r="T1211" i="3" s="1"/>
  <c r="AS1210" i="3"/>
  <c r="AH1210" i="3"/>
  <c r="AA1210" i="3"/>
  <c r="Y1210" i="3" s="1"/>
  <c r="U1210" i="3" s="1"/>
  <c r="T1210" i="3"/>
  <c r="S1210" i="3"/>
  <c r="B1210" i="3"/>
  <c r="AS1209" i="3"/>
  <c r="AH1209" i="3"/>
  <c r="AA1209" i="3"/>
  <c r="Y1209" i="3" s="1"/>
  <c r="U1209" i="3" s="1"/>
  <c r="T1209" i="3"/>
  <c r="S1209" i="3"/>
  <c r="B1209" i="3"/>
  <c r="AS1208" i="3"/>
  <c r="AH1208" i="3"/>
  <c r="AA1208" i="3"/>
  <c r="R1208" i="3"/>
  <c r="Q1208" i="3"/>
  <c r="L1208" i="3"/>
  <c r="K1208" i="3"/>
  <c r="J1208" i="3"/>
  <c r="I1208" i="3"/>
  <c r="T1208" i="3" s="1"/>
  <c r="AS1207" i="3"/>
  <c r="AH1207" i="3"/>
  <c r="AA1207" i="3"/>
  <c r="Y1207" i="3" s="1"/>
  <c r="U1207" i="3" s="1"/>
  <c r="T1207" i="3"/>
  <c r="S1207" i="3"/>
  <c r="S1206" i="3" s="1"/>
  <c r="B1207" i="3"/>
  <c r="AS1206" i="3"/>
  <c r="AH1206" i="3"/>
  <c r="AA1206" i="3"/>
  <c r="R1206" i="3"/>
  <c r="Q1206" i="3"/>
  <c r="L1206" i="3"/>
  <c r="K1206" i="3"/>
  <c r="J1206" i="3"/>
  <c r="I1206" i="3"/>
  <c r="T1206" i="3" s="1"/>
  <c r="AS1205" i="3"/>
  <c r="AH1205" i="3"/>
  <c r="AA1205" i="3"/>
  <c r="Y1205" i="3" s="1"/>
  <c r="U1205" i="3" s="1"/>
  <c r="T1205" i="3"/>
  <c r="S1205" i="3"/>
  <c r="S1204" i="3" s="1"/>
  <c r="B1205" i="3"/>
  <c r="AS1204" i="3"/>
  <c r="AH1204" i="3"/>
  <c r="AA1204" i="3"/>
  <c r="R1204" i="3"/>
  <c r="Q1204" i="3"/>
  <c r="L1204" i="3"/>
  <c r="K1204" i="3"/>
  <c r="J1204" i="3"/>
  <c r="I1204" i="3"/>
  <c r="T1204" i="3" s="1"/>
  <c r="AS1203" i="3"/>
  <c r="AH1203" i="3"/>
  <c r="AA1203" i="3"/>
  <c r="Y1203" i="3" s="1"/>
  <c r="U1203" i="3" s="1"/>
  <c r="T1203" i="3"/>
  <c r="S1203" i="3"/>
  <c r="B1203" i="3"/>
  <c r="AS1202" i="3"/>
  <c r="AH1202" i="3"/>
  <c r="AA1202" i="3"/>
  <c r="Y1202" i="3" s="1"/>
  <c r="U1202" i="3" s="1"/>
  <c r="T1202" i="3"/>
  <c r="S1202" i="3"/>
  <c r="B1202" i="3"/>
  <c r="AS1201" i="3"/>
  <c r="AH1201" i="3"/>
  <c r="AA1201" i="3"/>
  <c r="R1201" i="3"/>
  <c r="Q1201" i="3"/>
  <c r="L1201" i="3"/>
  <c r="K1201" i="3"/>
  <c r="J1201" i="3"/>
  <c r="I1201" i="3"/>
  <c r="T1201" i="3" s="1"/>
  <c r="AS1200" i="3"/>
  <c r="AH1200" i="3"/>
  <c r="AA1200" i="3"/>
  <c r="Y1200" i="3" s="1"/>
  <c r="U1200" i="3" s="1"/>
  <c r="T1200" i="3"/>
  <c r="S1200" i="3"/>
  <c r="B1200" i="3"/>
  <c r="AS1199" i="3"/>
  <c r="AH1199" i="3"/>
  <c r="AA1199" i="3"/>
  <c r="Y1199" i="3" s="1"/>
  <c r="T1199" i="3"/>
  <c r="V1199" i="3" s="1"/>
  <c r="S1199" i="3"/>
  <c r="B1199" i="3"/>
  <c r="AS1198" i="3"/>
  <c r="AH1198" i="3"/>
  <c r="AA1198" i="3"/>
  <c r="Y1198" i="3" s="1"/>
  <c r="T1198" i="3"/>
  <c r="V1198" i="3" s="1"/>
  <c r="S1198" i="3"/>
  <c r="B1198" i="3"/>
  <c r="AS1197" i="3"/>
  <c r="AH1197" i="3"/>
  <c r="AA1197" i="3"/>
  <c r="Y1197" i="3" s="1"/>
  <c r="T1197" i="3"/>
  <c r="V1197" i="3" s="1"/>
  <c r="S1197" i="3"/>
  <c r="B1197" i="3"/>
  <c r="AS1196" i="3"/>
  <c r="AH1196" i="3"/>
  <c r="AA1196" i="3"/>
  <c r="R1196" i="3"/>
  <c r="Q1196" i="3"/>
  <c r="L1196" i="3"/>
  <c r="K1196" i="3"/>
  <c r="J1196" i="3"/>
  <c r="I1196" i="3"/>
  <c r="T1196" i="3" s="1"/>
  <c r="AS1195" i="3"/>
  <c r="AH1195" i="3"/>
  <c r="AA1195" i="3"/>
  <c r="Y1195" i="3" s="1"/>
  <c r="U1195" i="3" s="1"/>
  <c r="T1195" i="3"/>
  <c r="S1195" i="3"/>
  <c r="B1195" i="3"/>
  <c r="AS1194" i="3"/>
  <c r="AH1194" i="3"/>
  <c r="AA1194" i="3"/>
  <c r="Y1194" i="3" s="1"/>
  <c r="U1194" i="3" s="1"/>
  <c r="T1194" i="3"/>
  <c r="S1194" i="3"/>
  <c r="B1194" i="3"/>
  <c r="AS1193" i="3"/>
  <c r="AH1193" i="3"/>
  <c r="AA1193" i="3"/>
  <c r="Y1193" i="3" s="1"/>
  <c r="U1193" i="3" s="1"/>
  <c r="T1193" i="3"/>
  <c r="S1193" i="3"/>
  <c r="B1193" i="3"/>
  <c r="AS1192" i="3"/>
  <c r="AH1192" i="3"/>
  <c r="AA1192" i="3"/>
  <c r="R1192" i="3"/>
  <c r="Q1192" i="3"/>
  <c r="L1192" i="3"/>
  <c r="K1192" i="3"/>
  <c r="J1192" i="3"/>
  <c r="I1192" i="3"/>
  <c r="T1192" i="3" s="1"/>
  <c r="AS1191" i="3"/>
  <c r="AH1191" i="3"/>
  <c r="AA1191" i="3"/>
  <c r="Y1191" i="3" s="1"/>
  <c r="U1191" i="3" s="1"/>
  <c r="T1191" i="3"/>
  <c r="S1191" i="3"/>
  <c r="B1191" i="3"/>
  <c r="AS1190" i="3"/>
  <c r="AH1190" i="3"/>
  <c r="AA1190" i="3"/>
  <c r="Y1190" i="3" s="1"/>
  <c r="U1190" i="3" s="1"/>
  <c r="T1190" i="3"/>
  <c r="S1190" i="3"/>
  <c r="B1190" i="3"/>
  <c r="AS1189" i="3"/>
  <c r="AH1189" i="3"/>
  <c r="AA1189" i="3"/>
  <c r="R1189" i="3"/>
  <c r="Q1189" i="3"/>
  <c r="L1189" i="3"/>
  <c r="K1189" i="3"/>
  <c r="J1189" i="3"/>
  <c r="I1189" i="3"/>
  <c r="T1189" i="3" s="1"/>
  <c r="AS1188" i="3"/>
  <c r="AH1188" i="3"/>
  <c r="AA1188" i="3"/>
  <c r="Y1188" i="3" s="1"/>
  <c r="U1188" i="3" s="1"/>
  <c r="T1188" i="3"/>
  <c r="S1188" i="3"/>
  <c r="B1188" i="3"/>
  <c r="AS1187" i="3"/>
  <c r="AH1187" i="3"/>
  <c r="AG1187" i="3" s="1"/>
  <c r="U1187" i="3" s="1"/>
  <c r="AA1187" i="3"/>
  <c r="Y1187" i="3" s="1"/>
  <c r="T1187" i="3"/>
  <c r="S1187" i="3"/>
  <c r="B1187" i="3"/>
  <c r="AS1186" i="3"/>
  <c r="AH1186" i="3"/>
  <c r="AA1186" i="3"/>
  <c r="R1186" i="3"/>
  <c r="Q1186" i="3"/>
  <c r="L1186" i="3"/>
  <c r="K1186" i="3"/>
  <c r="J1186" i="3"/>
  <c r="I1186" i="3"/>
  <c r="T1186" i="3" s="1"/>
  <c r="AS1185" i="3"/>
  <c r="AH1185" i="3"/>
  <c r="AA1185" i="3"/>
  <c r="Y1185" i="3" s="1"/>
  <c r="U1185" i="3" s="1"/>
  <c r="T1185" i="3"/>
  <c r="S1185" i="3"/>
  <c r="S1184" i="3" s="1"/>
  <c r="B1185" i="3"/>
  <c r="AS1184" i="3"/>
  <c r="AH1184" i="3"/>
  <c r="AA1184" i="3"/>
  <c r="R1184" i="3"/>
  <c r="Q1184" i="3"/>
  <c r="L1184" i="3"/>
  <c r="K1184" i="3"/>
  <c r="J1184" i="3"/>
  <c r="I1184" i="3"/>
  <c r="T1184" i="3" s="1"/>
  <c r="AS1183" i="3"/>
  <c r="AH1183" i="3"/>
  <c r="AA1183" i="3"/>
  <c r="Y1183" i="3" s="1"/>
  <c r="U1183" i="3" s="1"/>
  <c r="T1183" i="3"/>
  <c r="S1183" i="3"/>
  <c r="S1182" i="3" s="1"/>
  <c r="B1183" i="3"/>
  <c r="AS1182" i="3"/>
  <c r="AH1182" i="3"/>
  <c r="AA1182" i="3"/>
  <c r="R1182" i="3"/>
  <c r="Q1182" i="3"/>
  <c r="L1182" i="3"/>
  <c r="K1182" i="3"/>
  <c r="J1182" i="3"/>
  <c r="I1182" i="3"/>
  <c r="T1182" i="3" s="1"/>
  <c r="AS1181" i="3"/>
  <c r="AH1181" i="3"/>
  <c r="AA1181" i="3"/>
  <c r="Y1181" i="3" s="1"/>
  <c r="U1181" i="3" s="1"/>
  <c r="T1181" i="3"/>
  <c r="S1181" i="3"/>
  <c r="S1180" i="3" s="1"/>
  <c r="K1181" i="3"/>
  <c r="K1180" i="3" s="1"/>
  <c r="B1181" i="3"/>
  <c r="AS1180" i="3"/>
  <c r="AH1180" i="3"/>
  <c r="AA1180" i="3"/>
  <c r="R1180" i="3"/>
  <c r="Q1180" i="3"/>
  <c r="L1180" i="3"/>
  <c r="J1180" i="3"/>
  <c r="I1180" i="3"/>
  <c r="T1180" i="3" s="1"/>
  <c r="AS1179" i="3"/>
  <c r="AH1179" i="3"/>
  <c r="AA1179" i="3"/>
  <c r="Y1179" i="3" s="1"/>
  <c r="U1179" i="3" s="1"/>
  <c r="T1179" i="3"/>
  <c r="S1179" i="3"/>
  <c r="B1179" i="3"/>
  <c r="AS1178" i="3"/>
  <c r="AH1178" i="3"/>
  <c r="AA1178" i="3"/>
  <c r="Y1178" i="3" s="1"/>
  <c r="U1178" i="3" s="1"/>
  <c r="T1178" i="3"/>
  <c r="S1178" i="3"/>
  <c r="B1178" i="3"/>
  <c r="AS1177" i="3"/>
  <c r="AH1177" i="3"/>
  <c r="AA1177" i="3"/>
  <c r="Y1177" i="3" s="1"/>
  <c r="U1177" i="3" s="1"/>
  <c r="T1177" i="3"/>
  <c r="S1177" i="3"/>
  <c r="B1177" i="3"/>
  <c r="AS1176" i="3"/>
  <c r="AH1176" i="3"/>
  <c r="AA1176" i="3"/>
  <c r="R1176" i="3"/>
  <c r="Q1176" i="3"/>
  <c r="L1176" i="3"/>
  <c r="K1176" i="3"/>
  <c r="J1176" i="3"/>
  <c r="I1176" i="3"/>
  <c r="AS1175" i="3"/>
  <c r="AH1175" i="3"/>
  <c r="AA1175" i="3"/>
  <c r="Y1175" i="3" s="1"/>
  <c r="U1175" i="3" s="1"/>
  <c r="T1175" i="3"/>
  <c r="S1175" i="3"/>
  <c r="S1174" i="3" s="1"/>
  <c r="B1175" i="3"/>
  <c r="AS1174" i="3"/>
  <c r="AH1174" i="3"/>
  <c r="AA1174" i="3"/>
  <c r="R1174" i="3"/>
  <c r="Q1174" i="3"/>
  <c r="L1174" i="3"/>
  <c r="K1174" i="3"/>
  <c r="J1174" i="3"/>
  <c r="I1174" i="3"/>
  <c r="T1174" i="3" s="1"/>
  <c r="AS1173" i="3"/>
  <c r="AH1173" i="3"/>
  <c r="AA1173" i="3"/>
  <c r="Y1173" i="3" s="1"/>
  <c r="U1173" i="3" s="1"/>
  <c r="U1172" i="3" s="1"/>
  <c r="T1173" i="3"/>
  <c r="S1173" i="3"/>
  <c r="S1172" i="3" s="1"/>
  <c r="B1173" i="3"/>
  <c r="AS1172" i="3"/>
  <c r="AH1172" i="3"/>
  <c r="AA1172" i="3"/>
  <c r="R1172" i="3"/>
  <c r="Q1172" i="3"/>
  <c r="L1172" i="3"/>
  <c r="K1172" i="3"/>
  <c r="J1172" i="3"/>
  <c r="I1172" i="3"/>
  <c r="T1172" i="3" s="1"/>
  <c r="AS1171" i="3"/>
  <c r="AH1171" i="3"/>
  <c r="AA1171" i="3"/>
  <c r="Y1171" i="3" s="1"/>
  <c r="T1171" i="3"/>
  <c r="V1171" i="3" s="1"/>
  <c r="S1171" i="3"/>
  <c r="S1170" i="3" s="1"/>
  <c r="B1171" i="3"/>
  <c r="AS1170" i="3"/>
  <c r="AH1170" i="3"/>
  <c r="AA1170" i="3"/>
  <c r="U1170" i="3"/>
  <c r="R1170" i="3"/>
  <c r="Q1170" i="3"/>
  <c r="L1170" i="3"/>
  <c r="K1170" i="3"/>
  <c r="J1170" i="3"/>
  <c r="I1170" i="3"/>
  <c r="AS1169" i="3"/>
  <c r="AH1169" i="3"/>
  <c r="AA1169" i="3"/>
  <c r="Y1169" i="3" s="1"/>
  <c r="T1169" i="3"/>
  <c r="V1169" i="3" s="1"/>
  <c r="S1169" i="3"/>
  <c r="B1169" i="3"/>
  <c r="AS1168" i="3"/>
  <c r="AH1168" i="3"/>
  <c r="AA1168" i="3"/>
  <c r="Y1168" i="3" s="1"/>
  <c r="T1168" i="3"/>
  <c r="U1168" i="3" s="1"/>
  <c r="V1168" i="3" s="1"/>
  <c r="S1168" i="3"/>
  <c r="B1168" i="3"/>
  <c r="AS1167" i="3"/>
  <c r="AH1167" i="3"/>
  <c r="AA1167" i="3"/>
  <c r="Y1167" i="3" s="1"/>
  <c r="T1167" i="3"/>
  <c r="U1167" i="3" s="1"/>
  <c r="V1167" i="3" s="1"/>
  <c r="S1167" i="3"/>
  <c r="B1167" i="3"/>
  <c r="AS1166" i="3"/>
  <c r="AH1166" i="3"/>
  <c r="AA1166" i="3"/>
  <c r="R1166" i="3"/>
  <c r="Q1166" i="3"/>
  <c r="L1166" i="3"/>
  <c r="K1166" i="3"/>
  <c r="J1166" i="3"/>
  <c r="I1166" i="3"/>
  <c r="AS1165" i="3"/>
  <c r="AH1165" i="3"/>
  <c r="AA1165" i="3"/>
  <c r="Y1165" i="3" s="1"/>
  <c r="U1165" i="3" s="1"/>
  <c r="T1165" i="3"/>
  <c r="S1165" i="3"/>
  <c r="S1164" i="3" s="1"/>
  <c r="B1165" i="3"/>
  <c r="AS1164" i="3"/>
  <c r="AH1164" i="3"/>
  <c r="AA1164" i="3"/>
  <c r="R1164" i="3"/>
  <c r="Q1164" i="3"/>
  <c r="L1164" i="3"/>
  <c r="K1164" i="3"/>
  <c r="J1164" i="3"/>
  <c r="I1164" i="3"/>
  <c r="T1164" i="3" s="1"/>
  <c r="AS1163" i="3"/>
  <c r="AH1163" i="3"/>
  <c r="AA1163" i="3"/>
  <c r="Y1163" i="3" s="1"/>
  <c r="U1162" i="3" s="1"/>
  <c r="T1163" i="3"/>
  <c r="S1163" i="3"/>
  <c r="S1162" i="3" s="1"/>
  <c r="B1163" i="3"/>
  <c r="AS1162" i="3"/>
  <c r="AH1162" i="3"/>
  <c r="AA1162" i="3"/>
  <c r="R1162" i="3"/>
  <c r="Q1162" i="3"/>
  <c r="L1162" i="3"/>
  <c r="K1162" i="3"/>
  <c r="J1162" i="3"/>
  <c r="I1162" i="3"/>
  <c r="T1162" i="3" s="1"/>
  <c r="AS1161" i="3"/>
  <c r="AH1161" i="3"/>
  <c r="AA1161" i="3"/>
  <c r="Y1161" i="3" s="1"/>
  <c r="U1161" i="3" s="1"/>
  <c r="T1161" i="3"/>
  <c r="S1161" i="3"/>
  <c r="S1160" i="3" s="1"/>
  <c r="B1161" i="3"/>
  <c r="AS1160" i="3"/>
  <c r="AH1160" i="3"/>
  <c r="AA1160" i="3"/>
  <c r="R1160" i="3"/>
  <c r="Q1160" i="3"/>
  <c r="L1160" i="3"/>
  <c r="K1160" i="3"/>
  <c r="J1160" i="3"/>
  <c r="I1160" i="3"/>
  <c r="T1160" i="3" s="1"/>
  <c r="AS1159" i="3"/>
  <c r="AH1159" i="3"/>
  <c r="AA1159" i="3"/>
  <c r="Y1159" i="3" s="1"/>
  <c r="U1159" i="3" s="1"/>
  <c r="T1159" i="3"/>
  <c r="S1159" i="3"/>
  <c r="S1158" i="3" s="1"/>
  <c r="B1159" i="3"/>
  <c r="AS1158" i="3"/>
  <c r="AH1158" i="3"/>
  <c r="AA1158" i="3"/>
  <c r="R1158" i="3"/>
  <c r="Q1158" i="3"/>
  <c r="L1158" i="3"/>
  <c r="K1158" i="3"/>
  <c r="J1158" i="3"/>
  <c r="I1158" i="3"/>
  <c r="AS1157" i="3"/>
  <c r="AH1157" i="3"/>
  <c r="AA1157" i="3"/>
  <c r="Y1157" i="3" s="1"/>
  <c r="U1157" i="3" s="1"/>
  <c r="T1157" i="3"/>
  <c r="S1157" i="3"/>
  <c r="S1156" i="3" s="1"/>
  <c r="B1157" i="3"/>
  <c r="AS1156" i="3"/>
  <c r="AH1156" i="3"/>
  <c r="AA1156" i="3"/>
  <c r="R1156" i="3"/>
  <c r="Q1156" i="3"/>
  <c r="L1156" i="3"/>
  <c r="K1156" i="3"/>
  <c r="J1156" i="3"/>
  <c r="I1156" i="3"/>
  <c r="T1156" i="3" s="1"/>
  <c r="AS1155" i="3"/>
  <c r="AH1155" i="3"/>
  <c r="AA1155" i="3"/>
  <c r="Y1155" i="3" s="1"/>
  <c r="U1155" i="3" s="1"/>
  <c r="T1155" i="3"/>
  <c r="S1155" i="3"/>
  <c r="S1154" i="3" s="1"/>
  <c r="B1155" i="3"/>
  <c r="AS1154" i="3"/>
  <c r="AH1154" i="3"/>
  <c r="AA1154" i="3"/>
  <c r="R1154" i="3"/>
  <c r="Q1154" i="3"/>
  <c r="L1154" i="3"/>
  <c r="K1154" i="3"/>
  <c r="J1154" i="3"/>
  <c r="I1154" i="3"/>
  <c r="T1154" i="3" s="1"/>
  <c r="AS1153" i="3"/>
  <c r="AH1153" i="3"/>
  <c r="AA1153" i="3"/>
  <c r="Y1153" i="3" s="1"/>
  <c r="T1153" i="3"/>
  <c r="U1153" i="3" s="1"/>
  <c r="V1153" i="3" s="1"/>
  <c r="S1153" i="3"/>
  <c r="B1153" i="3"/>
  <c r="AS1152" i="3"/>
  <c r="AH1152" i="3"/>
  <c r="AA1152" i="3"/>
  <c r="Y1152" i="3" s="1"/>
  <c r="T1152" i="3"/>
  <c r="U1152" i="3" s="1"/>
  <c r="V1152" i="3" s="1"/>
  <c r="S1152" i="3"/>
  <c r="B1152" i="3"/>
  <c r="AS1151" i="3"/>
  <c r="AH1151" i="3"/>
  <c r="AA1151" i="3"/>
  <c r="Y1151" i="3" s="1"/>
  <c r="T1151" i="3"/>
  <c r="U1151" i="3" s="1"/>
  <c r="V1151" i="3" s="1"/>
  <c r="S1151" i="3"/>
  <c r="B1151" i="3"/>
  <c r="AS1150" i="3"/>
  <c r="AH1150" i="3"/>
  <c r="AA1150" i="3"/>
  <c r="R1150" i="3"/>
  <c r="Q1150" i="3"/>
  <c r="L1150" i="3"/>
  <c r="K1150" i="3"/>
  <c r="J1150" i="3"/>
  <c r="I1150" i="3"/>
  <c r="T1150" i="3" s="1"/>
  <c r="AS1149" i="3"/>
  <c r="AH1149" i="3"/>
  <c r="AA1149" i="3"/>
  <c r="Y1149" i="3" s="1"/>
  <c r="U1149" i="3" s="1"/>
  <c r="T1149" i="3"/>
  <c r="S1149" i="3"/>
  <c r="S1148" i="3" s="1"/>
  <c r="B1149" i="3"/>
  <c r="AS1148" i="3"/>
  <c r="AH1148" i="3"/>
  <c r="AA1148" i="3"/>
  <c r="R1148" i="3"/>
  <c r="Q1148" i="3"/>
  <c r="L1148" i="3"/>
  <c r="K1148" i="3"/>
  <c r="J1148" i="3"/>
  <c r="I1148" i="3"/>
  <c r="T1148" i="3" s="1"/>
  <c r="AS1147" i="3"/>
  <c r="AH1147" i="3"/>
  <c r="AA1147" i="3"/>
  <c r="Y1147" i="3" s="1"/>
  <c r="T1147" i="3"/>
  <c r="U1147" i="3" s="1"/>
  <c r="V1147" i="3" s="1"/>
  <c r="S1147" i="3"/>
  <c r="B1147" i="3"/>
  <c r="AS1146" i="3"/>
  <c r="AH1146" i="3"/>
  <c r="AA1146" i="3"/>
  <c r="Y1146" i="3" s="1"/>
  <c r="T1146" i="3"/>
  <c r="U1146" i="3" s="1"/>
  <c r="V1146" i="3" s="1"/>
  <c r="S1146" i="3"/>
  <c r="B1146" i="3"/>
  <c r="AS1145" i="3"/>
  <c r="AH1145" i="3"/>
  <c r="AA1145" i="3"/>
  <c r="R1145" i="3"/>
  <c r="Q1145" i="3"/>
  <c r="L1145" i="3"/>
  <c r="K1145" i="3"/>
  <c r="J1145" i="3"/>
  <c r="I1145" i="3"/>
  <c r="AS1144" i="3"/>
  <c r="AH1144" i="3"/>
  <c r="AA1144" i="3"/>
  <c r="Y1144" i="3" s="1"/>
  <c r="T1144" i="3"/>
  <c r="U1144" i="3" s="1"/>
  <c r="V1144" i="3" s="1"/>
  <c r="S1144" i="3"/>
  <c r="B1144" i="3"/>
  <c r="AS1143" i="3"/>
  <c r="AH1143" i="3"/>
  <c r="AA1143" i="3"/>
  <c r="Y1143" i="3" s="1"/>
  <c r="T1143" i="3"/>
  <c r="U1143" i="3" s="1"/>
  <c r="V1143" i="3" s="1"/>
  <c r="S1143" i="3"/>
  <c r="B1143" i="3"/>
  <c r="AS1142" i="3"/>
  <c r="AH1142" i="3"/>
  <c r="AG1142" i="3" s="1"/>
  <c r="U1142" i="3" s="1"/>
  <c r="AA1142" i="3"/>
  <c r="Y1142" i="3" s="1"/>
  <c r="T1142" i="3"/>
  <c r="S1142" i="3"/>
  <c r="B1142" i="3"/>
  <c r="AS1141" i="3"/>
  <c r="AH1141" i="3"/>
  <c r="AA1141" i="3"/>
  <c r="R1141" i="3"/>
  <c r="Q1141" i="3"/>
  <c r="L1141" i="3"/>
  <c r="K1141" i="3"/>
  <c r="J1141" i="3"/>
  <c r="I1141" i="3"/>
  <c r="AS1140" i="3"/>
  <c r="AH1140" i="3"/>
  <c r="AG1140" i="3" s="1"/>
  <c r="U1140" i="3" s="1"/>
  <c r="AA1140" i="3"/>
  <c r="Y1140" i="3" s="1"/>
  <c r="T1140" i="3"/>
  <c r="S1140" i="3"/>
  <c r="B1140" i="3"/>
  <c r="AS1139" i="3"/>
  <c r="AH1139" i="3"/>
  <c r="AA1139" i="3"/>
  <c r="Y1139" i="3" s="1"/>
  <c r="T1139" i="3"/>
  <c r="U1139" i="3" s="1"/>
  <c r="V1139" i="3" s="1"/>
  <c r="S1139" i="3"/>
  <c r="B1139" i="3"/>
  <c r="AS1138" i="3"/>
  <c r="AH1138" i="3"/>
  <c r="AA1138" i="3"/>
  <c r="R1138" i="3"/>
  <c r="Q1138" i="3"/>
  <c r="L1138" i="3"/>
  <c r="K1138" i="3"/>
  <c r="J1138" i="3"/>
  <c r="I1138" i="3"/>
  <c r="AS1137" i="3"/>
  <c r="AH1137" i="3"/>
  <c r="AA1137" i="3"/>
  <c r="Y1137" i="3" s="1"/>
  <c r="T1137" i="3"/>
  <c r="U1137" i="3" s="1"/>
  <c r="V1137" i="3" s="1"/>
  <c r="S1137" i="3"/>
  <c r="K1137" i="3"/>
  <c r="K1131" i="3" s="1"/>
  <c r="B1137" i="3"/>
  <c r="AS1136" i="3"/>
  <c r="AH1136" i="3"/>
  <c r="AA1136" i="3"/>
  <c r="Y1136" i="3" s="1"/>
  <c r="T1136" i="3"/>
  <c r="U1136" i="3" s="1"/>
  <c r="V1136" i="3" s="1"/>
  <c r="S1136" i="3"/>
  <c r="B1136" i="3"/>
  <c r="AS1135" i="3"/>
  <c r="AH1135" i="3"/>
  <c r="AA1135" i="3"/>
  <c r="Y1135" i="3" s="1"/>
  <c r="T1135" i="3"/>
  <c r="U1135" i="3" s="1"/>
  <c r="V1135" i="3" s="1"/>
  <c r="S1135" i="3"/>
  <c r="B1135" i="3"/>
  <c r="AS1134" i="3"/>
  <c r="AH1134" i="3"/>
  <c r="AA1134" i="3"/>
  <c r="Y1134" i="3" s="1"/>
  <c r="T1134" i="3"/>
  <c r="U1134" i="3" s="1"/>
  <c r="V1134" i="3" s="1"/>
  <c r="S1134" i="3"/>
  <c r="B1134" i="3"/>
  <c r="AS1133" i="3"/>
  <c r="AH1133" i="3"/>
  <c r="AA1133" i="3"/>
  <c r="Y1133" i="3" s="1"/>
  <c r="T1133" i="3"/>
  <c r="U1133" i="3" s="1"/>
  <c r="V1133" i="3" s="1"/>
  <c r="S1133" i="3"/>
  <c r="B1133" i="3"/>
  <c r="AS1132" i="3"/>
  <c r="AH1132" i="3"/>
  <c r="AA1132" i="3"/>
  <c r="Y1132" i="3" s="1"/>
  <c r="T1132" i="3"/>
  <c r="U1132" i="3" s="1"/>
  <c r="S1132" i="3"/>
  <c r="B1132" i="3"/>
  <c r="AS1131" i="3"/>
  <c r="AH1131" i="3"/>
  <c r="AA1131" i="3"/>
  <c r="R1131" i="3"/>
  <c r="Q1131" i="3"/>
  <c r="L1131" i="3"/>
  <c r="J1131" i="3"/>
  <c r="I1131" i="3"/>
  <c r="T1131" i="3" s="1"/>
  <c r="AS1130" i="3"/>
  <c r="AH1130" i="3"/>
  <c r="AA1130" i="3"/>
  <c r="Y1130" i="3" s="1"/>
  <c r="U1130" i="3" s="1"/>
  <c r="T1130" i="3"/>
  <c r="S1130" i="3"/>
  <c r="S1129" i="3" s="1"/>
  <c r="B1130" i="3"/>
  <c r="AS1129" i="3"/>
  <c r="AH1129" i="3"/>
  <c r="AA1129" i="3"/>
  <c r="R1129" i="3"/>
  <c r="Q1129" i="3"/>
  <c r="L1129" i="3"/>
  <c r="K1129" i="3"/>
  <c r="J1129" i="3"/>
  <c r="I1129" i="3"/>
  <c r="AS1128" i="3"/>
  <c r="AH1128" i="3"/>
  <c r="AA1128" i="3"/>
  <c r="Y1128" i="3" s="1"/>
  <c r="U1128" i="3" s="1"/>
  <c r="T1128" i="3"/>
  <c r="S1128" i="3"/>
  <c r="S1127" i="3" s="1"/>
  <c r="B1128" i="3"/>
  <c r="AS1127" i="3"/>
  <c r="AH1127" i="3"/>
  <c r="AA1127" i="3"/>
  <c r="R1127" i="3"/>
  <c r="Q1127" i="3"/>
  <c r="L1127" i="3"/>
  <c r="K1127" i="3"/>
  <c r="J1127" i="3"/>
  <c r="I1127" i="3"/>
  <c r="T1127" i="3" s="1"/>
  <c r="AS1126" i="3"/>
  <c r="AH1126" i="3"/>
  <c r="AA1126" i="3"/>
  <c r="Y1126" i="3" s="1"/>
  <c r="U1126" i="3" s="1"/>
  <c r="T1126" i="3"/>
  <c r="S1126" i="3"/>
  <c r="S1125" i="3" s="1"/>
  <c r="B1126" i="3"/>
  <c r="AS1125" i="3"/>
  <c r="AH1125" i="3"/>
  <c r="AA1125" i="3"/>
  <c r="R1125" i="3"/>
  <c r="Q1125" i="3"/>
  <c r="L1125" i="3"/>
  <c r="K1125" i="3"/>
  <c r="J1125" i="3"/>
  <c r="I1125" i="3"/>
  <c r="T1125" i="3" s="1"/>
  <c r="AS1124" i="3"/>
  <c r="AH1124" i="3"/>
  <c r="AA1124" i="3"/>
  <c r="Y1124" i="3" s="1"/>
  <c r="U1124" i="3" s="1"/>
  <c r="T1124" i="3"/>
  <c r="S1124" i="3"/>
  <c r="B1124" i="3"/>
  <c r="AS1123" i="3"/>
  <c r="AH1123" i="3"/>
  <c r="AA1123" i="3"/>
  <c r="Y1123" i="3" s="1"/>
  <c r="U1123" i="3" s="1"/>
  <c r="T1123" i="3"/>
  <c r="S1123" i="3"/>
  <c r="B1123" i="3"/>
  <c r="AS1122" i="3"/>
  <c r="AH1122" i="3"/>
  <c r="AA1122" i="3"/>
  <c r="R1122" i="3"/>
  <c r="Q1122" i="3"/>
  <c r="L1122" i="3"/>
  <c r="K1122" i="3"/>
  <c r="J1122" i="3"/>
  <c r="I1122" i="3"/>
  <c r="T1122" i="3" s="1"/>
  <c r="AS1121" i="3"/>
  <c r="AH1121" i="3"/>
  <c r="AA1121" i="3"/>
  <c r="Y1121" i="3" s="1"/>
  <c r="T1121" i="3"/>
  <c r="S1121" i="3"/>
  <c r="B1121" i="3"/>
  <c r="AS1119" i="3"/>
  <c r="AH1119" i="3"/>
  <c r="AA1119" i="3"/>
  <c r="AS1118" i="3"/>
  <c r="AH1118" i="3"/>
  <c r="AA1118" i="3"/>
  <c r="Y1118" i="3" s="1"/>
  <c r="U1118" i="3" s="1"/>
  <c r="T1118" i="3"/>
  <c r="S1118" i="3"/>
  <c r="S1117" i="3" s="1"/>
  <c r="B1118" i="3"/>
  <c r="AS1117" i="3"/>
  <c r="AH1117" i="3"/>
  <c r="AA1117" i="3"/>
  <c r="R1117" i="3"/>
  <c r="Q1117" i="3"/>
  <c r="L1117" i="3"/>
  <c r="K1117" i="3"/>
  <c r="J1117" i="3"/>
  <c r="I1117" i="3"/>
  <c r="AS1116" i="3"/>
  <c r="AH1116" i="3"/>
  <c r="AG1116" i="3" s="1"/>
  <c r="U1116" i="3" s="1"/>
  <c r="AA1116" i="3"/>
  <c r="Y1116" i="3" s="1"/>
  <c r="T1116" i="3"/>
  <c r="S1116" i="3"/>
  <c r="S1115" i="3" s="1"/>
  <c r="B1116" i="3"/>
  <c r="AS1115" i="3"/>
  <c r="AH1115" i="3"/>
  <c r="AA1115" i="3"/>
  <c r="U1115" i="3"/>
  <c r="R1115" i="3"/>
  <c r="Q1115" i="3"/>
  <c r="L1115" i="3"/>
  <c r="K1115" i="3"/>
  <c r="J1115" i="3"/>
  <c r="I1115" i="3"/>
  <c r="AS1114" i="3"/>
  <c r="AH1114" i="3"/>
  <c r="AA1114" i="3"/>
  <c r="Y1114" i="3" s="1"/>
  <c r="U1114" i="3" s="1"/>
  <c r="T1114" i="3"/>
  <c r="S1114" i="3"/>
  <c r="S1113" i="3" s="1"/>
  <c r="B1114" i="3"/>
  <c r="AS1113" i="3"/>
  <c r="AH1113" i="3"/>
  <c r="AA1113" i="3"/>
  <c r="R1113" i="3"/>
  <c r="Q1113" i="3"/>
  <c r="L1113" i="3"/>
  <c r="K1113" i="3"/>
  <c r="J1113" i="3"/>
  <c r="I1113" i="3"/>
  <c r="T1113" i="3" s="1"/>
  <c r="AS1112" i="3"/>
  <c r="AH1112" i="3"/>
  <c r="AA1112" i="3"/>
  <c r="Y1112" i="3" s="1"/>
  <c r="U1112" i="3" s="1"/>
  <c r="T1112" i="3"/>
  <c r="S1112" i="3"/>
  <c r="B1112" i="3"/>
  <c r="AS1111" i="3"/>
  <c r="AH1111" i="3"/>
  <c r="AA1111" i="3"/>
  <c r="Y1111" i="3" s="1"/>
  <c r="U1111" i="3" s="1"/>
  <c r="T1111" i="3"/>
  <c r="S1111" i="3"/>
  <c r="B1111" i="3"/>
  <c r="AS1110" i="3"/>
  <c r="AH1110" i="3"/>
  <c r="AA1110" i="3"/>
  <c r="R1110" i="3"/>
  <c r="Q1110" i="3"/>
  <c r="L1110" i="3"/>
  <c r="K1110" i="3"/>
  <c r="J1110" i="3"/>
  <c r="I1110" i="3"/>
  <c r="T1110" i="3" s="1"/>
  <c r="AS1109" i="3"/>
  <c r="AR1109" i="3" s="1"/>
  <c r="AH1109" i="3"/>
  <c r="AA1109" i="3"/>
  <c r="Y1109" i="3" s="1"/>
  <c r="T1109" i="3"/>
  <c r="U1109" i="3" s="1"/>
  <c r="V1109" i="3" s="1"/>
  <c r="S1109" i="3"/>
  <c r="B1109" i="3"/>
  <c r="AS1108" i="3"/>
  <c r="AH1108" i="3"/>
  <c r="AG1108" i="3" s="1"/>
  <c r="AA1108" i="3"/>
  <c r="Y1108" i="3" s="1"/>
  <c r="T1108" i="3"/>
  <c r="S1108" i="3"/>
  <c r="B1108" i="3"/>
  <c r="AS1107" i="3"/>
  <c r="AH1107" i="3"/>
  <c r="AG1107" i="3" s="1"/>
  <c r="AA1107" i="3"/>
  <c r="Y1107" i="3" s="1"/>
  <c r="T1107" i="3"/>
  <c r="S1107" i="3"/>
  <c r="B1107" i="3"/>
  <c r="AS1106" i="3"/>
  <c r="AH1106" i="3"/>
  <c r="AG1106" i="3" s="1"/>
  <c r="U1106" i="3" s="1"/>
  <c r="AA1106" i="3"/>
  <c r="Y1106" i="3" s="1"/>
  <c r="T1106" i="3"/>
  <c r="S1106" i="3"/>
  <c r="B1106" i="3"/>
  <c r="AS1105" i="3"/>
  <c r="AH1105" i="3"/>
  <c r="AA1105" i="3"/>
  <c r="Y1105" i="3" s="1"/>
  <c r="U1105" i="3" s="1"/>
  <c r="T1105" i="3"/>
  <c r="S1105" i="3"/>
  <c r="B1105" i="3"/>
  <c r="AS1104" i="3"/>
  <c r="AH1104" i="3"/>
  <c r="AA1104" i="3"/>
  <c r="Y1104" i="3" s="1"/>
  <c r="U1104" i="3" s="1"/>
  <c r="T1104" i="3"/>
  <c r="S1104" i="3"/>
  <c r="B1104" i="3"/>
  <c r="AS1103" i="3"/>
  <c r="AH1103" i="3"/>
  <c r="AA1103" i="3"/>
  <c r="Y1103" i="3" s="1"/>
  <c r="U1103" i="3" s="1"/>
  <c r="T1103" i="3"/>
  <c r="S1103" i="3"/>
  <c r="B1103" i="3"/>
  <c r="AS1102" i="3"/>
  <c r="AH1102" i="3"/>
  <c r="AA1102" i="3"/>
  <c r="R1102" i="3"/>
  <c r="Q1102" i="3"/>
  <c r="L1102" i="3"/>
  <c r="K1102" i="3"/>
  <c r="J1102" i="3"/>
  <c r="I1102" i="3"/>
  <c r="AS1101" i="3"/>
  <c r="AH1101" i="3"/>
  <c r="AA1101" i="3"/>
  <c r="Y1101" i="3" s="1"/>
  <c r="U1101" i="3" s="1"/>
  <c r="T1101" i="3"/>
  <c r="S1101" i="3"/>
  <c r="S1100" i="3" s="1"/>
  <c r="B1101" i="3"/>
  <c r="AS1100" i="3"/>
  <c r="AH1100" i="3"/>
  <c r="AA1100" i="3"/>
  <c r="R1100" i="3"/>
  <c r="Q1100" i="3"/>
  <c r="L1100" i="3"/>
  <c r="K1100" i="3"/>
  <c r="J1100" i="3"/>
  <c r="I1100" i="3"/>
  <c r="T1100" i="3" s="1"/>
  <c r="AS1099" i="3"/>
  <c r="AH1099" i="3"/>
  <c r="AA1099" i="3"/>
  <c r="Y1099" i="3" s="1"/>
  <c r="T1099" i="3"/>
  <c r="U1099" i="3" s="1"/>
  <c r="V1099" i="3" s="1"/>
  <c r="S1099" i="3"/>
  <c r="S1098" i="3" s="1"/>
  <c r="B1099" i="3"/>
  <c r="AS1098" i="3"/>
  <c r="AH1098" i="3"/>
  <c r="AA1098" i="3"/>
  <c r="R1098" i="3"/>
  <c r="Q1098" i="3"/>
  <c r="L1098" i="3"/>
  <c r="K1098" i="3"/>
  <c r="J1098" i="3"/>
  <c r="I1098" i="3"/>
  <c r="T1098" i="3" s="1"/>
  <c r="U1098" i="3" s="1"/>
  <c r="V1098" i="3" s="1"/>
  <c r="AS1097" i="3"/>
  <c r="AH1097" i="3"/>
  <c r="AA1097" i="3"/>
  <c r="Y1097" i="3" s="1"/>
  <c r="T1097" i="3"/>
  <c r="V1097" i="3" s="1"/>
  <c r="S1097" i="3"/>
  <c r="B1097" i="3"/>
  <c r="AS1096" i="3"/>
  <c r="AH1096" i="3"/>
  <c r="AA1096" i="3"/>
  <c r="Y1096" i="3" s="1"/>
  <c r="U1096" i="3" s="1"/>
  <c r="T1096" i="3"/>
  <c r="S1096" i="3"/>
  <c r="B1096" i="3"/>
  <c r="AS1095" i="3"/>
  <c r="AH1095" i="3"/>
  <c r="AA1095" i="3"/>
  <c r="R1095" i="3"/>
  <c r="Q1095" i="3"/>
  <c r="L1095" i="3"/>
  <c r="K1095" i="3"/>
  <c r="J1095" i="3"/>
  <c r="I1095" i="3"/>
  <c r="T1095" i="3" s="1"/>
  <c r="AS1094" i="3"/>
  <c r="AH1094" i="3"/>
  <c r="AG1094" i="3" s="1"/>
  <c r="U1094" i="3" s="1"/>
  <c r="AA1094" i="3"/>
  <c r="Y1094" i="3" s="1"/>
  <c r="T1094" i="3"/>
  <c r="S1094" i="3"/>
  <c r="S1093" i="3" s="1"/>
  <c r="B1094" i="3"/>
  <c r="AS1093" i="3"/>
  <c r="AH1093" i="3"/>
  <c r="AA1093" i="3"/>
  <c r="R1093" i="3"/>
  <c r="Q1093" i="3"/>
  <c r="L1093" i="3"/>
  <c r="K1093" i="3"/>
  <c r="J1093" i="3"/>
  <c r="I1093" i="3"/>
  <c r="T1093" i="3" s="1"/>
  <c r="AS1092" i="3"/>
  <c r="AH1092" i="3"/>
  <c r="AA1092" i="3"/>
  <c r="Y1092" i="3" s="1"/>
  <c r="U1092" i="3" s="1"/>
  <c r="T1092" i="3"/>
  <c r="S1092" i="3"/>
  <c r="S1091" i="3" s="1"/>
  <c r="B1092" i="3"/>
  <c r="AS1091" i="3"/>
  <c r="AH1091" i="3"/>
  <c r="AA1091" i="3"/>
  <c r="R1091" i="3"/>
  <c r="Q1091" i="3"/>
  <c r="L1091" i="3"/>
  <c r="K1091" i="3"/>
  <c r="J1091" i="3"/>
  <c r="I1091" i="3"/>
  <c r="AS1090" i="3"/>
  <c r="AH1090" i="3"/>
  <c r="AA1090" i="3"/>
  <c r="Y1090" i="3" s="1"/>
  <c r="U1090" i="3" s="1"/>
  <c r="T1090" i="3"/>
  <c r="S1090" i="3"/>
  <c r="B1090" i="3"/>
  <c r="AS1089" i="3"/>
  <c r="AH1089" i="3"/>
  <c r="AA1089" i="3"/>
  <c r="Y1089" i="3" s="1"/>
  <c r="U1089" i="3" s="1"/>
  <c r="T1089" i="3"/>
  <c r="S1089" i="3"/>
  <c r="B1089" i="3"/>
  <c r="AS1088" i="3"/>
  <c r="AH1088" i="3"/>
  <c r="AA1088" i="3"/>
  <c r="R1088" i="3"/>
  <c r="Q1088" i="3"/>
  <c r="L1088" i="3"/>
  <c r="K1088" i="3"/>
  <c r="J1088" i="3"/>
  <c r="I1088" i="3"/>
  <c r="AS1087" i="3"/>
  <c r="AH1087" i="3"/>
  <c r="AG1087" i="3" s="1"/>
  <c r="AA1087" i="3"/>
  <c r="Y1087" i="3" s="1"/>
  <c r="T1087" i="3"/>
  <c r="S1087" i="3"/>
  <c r="B1087" i="3"/>
  <c r="AS1086" i="3"/>
  <c r="AH1086" i="3"/>
  <c r="AA1086" i="3"/>
  <c r="Y1086" i="3" s="1"/>
  <c r="T1086" i="3"/>
  <c r="V1086" i="3" s="1"/>
  <c r="S1086" i="3"/>
  <c r="B1086" i="3"/>
  <c r="AS1085" i="3"/>
  <c r="AH1085" i="3"/>
  <c r="AA1085" i="3"/>
  <c r="R1085" i="3"/>
  <c r="Q1085" i="3"/>
  <c r="L1085" i="3"/>
  <c r="K1085" i="3"/>
  <c r="J1085" i="3"/>
  <c r="I1085" i="3"/>
  <c r="AS1084" i="3"/>
  <c r="AH1084" i="3"/>
  <c r="AA1084" i="3"/>
  <c r="Y1084" i="3" s="1"/>
  <c r="U1084" i="3" s="1"/>
  <c r="T1084" i="3"/>
  <c r="S1084" i="3"/>
  <c r="B1084" i="3"/>
  <c r="AS1083" i="3"/>
  <c r="AH1083" i="3"/>
  <c r="AA1083" i="3"/>
  <c r="Y1083" i="3" s="1"/>
  <c r="U1083" i="3" s="1"/>
  <c r="T1083" i="3"/>
  <c r="S1083" i="3"/>
  <c r="B1083" i="3"/>
  <c r="AS1082" i="3"/>
  <c r="AH1082" i="3"/>
  <c r="AA1082" i="3"/>
  <c r="Y1082" i="3" s="1"/>
  <c r="U1082" i="3" s="1"/>
  <c r="T1082" i="3"/>
  <c r="S1082" i="3"/>
  <c r="B1082" i="3"/>
  <c r="AS1081" i="3"/>
  <c r="AH1081" i="3"/>
  <c r="AA1081" i="3"/>
  <c r="R1081" i="3"/>
  <c r="Q1081" i="3"/>
  <c r="L1081" i="3"/>
  <c r="K1081" i="3"/>
  <c r="J1081" i="3"/>
  <c r="I1081" i="3"/>
  <c r="T1081" i="3" s="1"/>
  <c r="AS1080" i="3"/>
  <c r="AH1080" i="3"/>
  <c r="AA1080" i="3"/>
  <c r="Y1080" i="3" s="1"/>
  <c r="U1080" i="3" s="1"/>
  <c r="T1080" i="3"/>
  <c r="S1080" i="3"/>
  <c r="B1080" i="3"/>
  <c r="AS1079" i="3"/>
  <c r="AH1079" i="3"/>
  <c r="AA1079" i="3"/>
  <c r="Y1079" i="3" s="1"/>
  <c r="U1079" i="3" s="1"/>
  <c r="T1079" i="3"/>
  <c r="S1079" i="3"/>
  <c r="B1079" i="3"/>
  <c r="AS1078" i="3"/>
  <c r="AH1078" i="3"/>
  <c r="AA1078" i="3"/>
  <c r="Y1078" i="3" s="1"/>
  <c r="U1078" i="3" s="1"/>
  <c r="T1078" i="3"/>
  <c r="S1078" i="3"/>
  <c r="B1078" i="3"/>
  <c r="AS1077" i="3"/>
  <c r="AH1077" i="3"/>
  <c r="AA1077" i="3"/>
  <c r="Y1077" i="3" s="1"/>
  <c r="T1077" i="3"/>
  <c r="V1077" i="3" s="1"/>
  <c r="S1077" i="3"/>
  <c r="B1077" i="3"/>
  <c r="AS1076" i="3"/>
  <c r="AH1076" i="3"/>
  <c r="AA1076" i="3"/>
  <c r="Y1076" i="3" s="1"/>
  <c r="U1076" i="3" s="1"/>
  <c r="T1076" i="3"/>
  <c r="S1076" i="3"/>
  <c r="B1076" i="3"/>
  <c r="AS1075" i="3"/>
  <c r="AH1075" i="3"/>
  <c r="AG1075" i="3" s="1"/>
  <c r="AA1075" i="3"/>
  <c r="Y1075" i="3" s="1"/>
  <c r="T1075" i="3"/>
  <c r="S1075" i="3"/>
  <c r="B1075" i="3"/>
  <c r="AS1074" i="3"/>
  <c r="AH1074" i="3"/>
  <c r="AA1074" i="3"/>
  <c r="Y1074" i="3" s="1"/>
  <c r="U1074" i="3" s="1"/>
  <c r="T1074" i="3"/>
  <c r="S1074" i="3"/>
  <c r="B1074" i="3"/>
  <c r="AS1073" i="3"/>
  <c r="AH1073" i="3"/>
  <c r="AA1073" i="3"/>
  <c r="Y1073" i="3" s="1"/>
  <c r="U1073" i="3" s="1"/>
  <c r="T1073" i="3"/>
  <c r="S1073" i="3"/>
  <c r="B1073" i="3"/>
  <c r="AS1072" i="3"/>
  <c r="AH1072" i="3"/>
  <c r="AA1072" i="3"/>
  <c r="R1072" i="3"/>
  <c r="Q1072" i="3"/>
  <c r="L1072" i="3"/>
  <c r="K1072" i="3"/>
  <c r="J1072" i="3"/>
  <c r="I1072" i="3"/>
  <c r="T1072" i="3" s="1"/>
  <c r="AS1071" i="3"/>
  <c r="AH1071" i="3"/>
  <c r="AG1071" i="3" s="1"/>
  <c r="U1071" i="3" s="1"/>
  <c r="AA1071" i="3"/>
  <c r="Y1071" i="3" s="1"/>
  <c r="T1071" i="3"/>
  <c r="S1071" i="3"/>
  <c r="B1071" i="3"/>
  <c r="AS1070" i="3"/>
  <c r="AH1070" i="3"/>
  <c r="AA1070" i="3"/>
  <c r="Y1070" i="3" s="1"/>
  <c r="T1070" i="3"/>
  <c r="V1070" i="3" s="1"/>
  <c r="S1070" i="3"/>
  <c r="B1070" i="3"/>
  <c r="AS1069" i="3"/>
  <c r="AH1069" i="3"/>
  <c r="AA1069" i="3"/>
  <c r="R1069" i="3"/>
  <c r="Q1069" i="3"/>
  <c r="L1069" i="3"/>
  <c r="K1069" i="3"/>
  <c r="J1069" i="3"/>
  <c r="I1069" i="3"/>
  <c r="T1069" i="3" s="1"/>
  <c r="AS1068" i="3"/>
  <c r="AH1068" i="3"/>
  <c r="AA1068" i="3"/>
  <c r="Y1068" i="3" s="1"/>
  <c r="U1068" i="3" s="1"/>
  <c r="T1068" i="3"/>
  <c r="S1068" i="3"/>
  <c r="B1068" i="3"/>
  <c r="AS1067" i="3"/>
  <c r="AH1067" i="3"/>
  <c r="AG1067" i="3" s="1"/>
  <c r="U1067" i="3" s="1"/>
  <c r="AA1067" i="3"/>
  <c r="Y1067" i="3" s="1"/>
  <c r="T1067" i="3"/>
  <c r="S1067" i="3"/>
  <c r="B1067" i="3"/>
  <c r="AS1066" i="3"/>
  <c r="AH1066" i="3"/>
  <c r="AA1066" i="3"/>
  <c r="Y1066" i="3" s="1"/>
  <c r="U1066" i="3" s="1"/>
  <c r="T1066" i="3"/>
  <c r="S1066" i="3"/>
  <c r="B1066" i="3"/>
  <c r="AS1065" i="3"/>
  <c r="AH1065" i="3"/>
  <c r="AG1065" i="3" s="1"/>
  <c r="U1065" i="3" s="1"/>
  <c r="AA1065" i="3"/>
  <c r="Y1065" i="3" s="1"/>
  <c r="T1065" i="3"/>
  <c r="S1065" i="3"/>
  <c r="B1065" i="3"/>
  <c r="AS1064" i="3"/>
  <c r="AH1064" i="3"/>
  <c r="AA1064" i="3"/>
  <c r="Y1064" i="3" s="1"/>
  <c r="U1064" i="3" s="1"/>
  <c r="T1064" i="3"/>
  <c r="S1064" i="3"/>
  <c r="B1064" i="3"/>
  <c r="AS1063" i="3"/>
  <c r="AH1063" i="3"/>
  <c r="AA1063" i="3"/>
  <c r="Y1063" i="3" s="1"/>
  <c r="U1063" i="3" s="1"/>
  <c r="T1063" i="3"/>
  <c r="S1063" i="3"/>
  <c r="B1063" i="3"/>
  <c r="AS1062" i="3"/>
  <c r="AH1062" i="3"/>
  <c r="AA1062" i="3"/>
  <c r="Y1062" i="3" s="1"/>
  <c r="U1062" i="3" s="1"/>
  <c r="T1062" i="3"/>
  <c r="S1062" i="3"/>
  <c r="B1062" i="3"/>
  <c r="AS1061" i="3"/>
  <c r="AR1061" i="3" s="1"/>
  <c r="U1061" i="3" s="1"/>
  <c r="AH1061" i="3"/>
  <c r="AA1061" i="3"/>
  <c r="Y1061" i="3" s="1"/>
  <c r="T1061" i="3"/>
  <c r="S1061" i="3"/>
  <c r="B1061" i="3"/>
  <c r="AS1060" i="3"/>
  <c r="AH1060" i="3"/>
  <c r="AA1060" i="3"/>
  <c r="Y1060" i="3" s="1"/>
  <c r="U1060" i="3" s="1"/>
  <c r="T1060" i="3"/>
  <c r="S1060" i="3"/>
  <c r="B1060" i="3"/>
  <c r="AS1059" i="3"/>
  <c r="AH1059" i="3"/>
  <c r="AA1059" i="3"/>
  <c r="Y1059" i="3" s="1"/>
  <c r="U1059" i="3" s="1"/>
  <c r="T1059" i="3"/>
  <c r="S1059" i="3"/>
  <c r="B1059" i="3"/>
  <c r="AS1058" i="3"/>
  <c r="AH1058" i="3"/>
  <c r="AA1058" i="3"/>
  <c r="Y1058" i="3" s="1"/>
  <c r="U1058" i="3" s="1"/>
  <c r="T1058" i="3"/>
  <c r="S1058" i="3"/>
  <c r="B1058" i="3"/>
  <c r="AS1057" i="3"/>
  <c r="AH1057" i="3"/>
  <c r="AA1057" i="3"/>
  <c r="R1057" i="3"/>
  <c r="Q1057" i="3"/>
  <c r="L1057" i="3"/>
  <c r="K1057" i="3"/>
  <c r="J1057" i="3"/>
  <c r="I1057" i="3"/>
  <c r="T1057" i="3" s="1"/>
  <c r="AS1056" i="3"/>
  <c r="AR1056" i="3" s="1"/>
  <c r="U1056" i="3" s="1"/>
  <c r="AH1056" i="3"/>
  <c r="AA1056" i="3"/>
  <c r="Y1056" i="3" s="1"/>
  <c r="T1056" i="3"/>
  <c r="S1056" i="3"/>
  <c r="B1056" i="3"/>
  <c r="AS1055" i="3"/>
  <c r="AH1055" i="3"/>
  <c r="AA1055" i="3"/>
  <c r="Y1055" i="3" s="1"/>
  <c r="U1055" i="3" s="1"/>
  <c r="T1055" i="3"/>
  <c r="S1055" i="3"/>
  <c r="B1055" i="3"/>
  <c r="AS1054" i="3"/>
  <c r="AH1054" i="3"/>
  <c r="AA1054" i="3"/>
  <c r="Y1054" i="3" s="1"/>
  <c r="U1054" i="3" s="1"/>
  <c r="T1054" i="3"/>
  <c r="S1054" i="3"/>
  <c r="B1054" i="3"/>
  <c r="AS1053" i="3"/>
  <c r="AH1053" i="3"/>
  <c r="AA1053" i="3"/>
  <c r="Y1053" i="3" s="1"/>
  <c r="U1053" i="3" s="1"/>
  <c r="T1053" i="3"/>
  <c r="S1053" i="3"/>
  <c r="B1053" i="3"/>
  <c r="AS1052" i="3"/>
  <c r="AH1052" i="3"/>
  <c r="AA1052" i="3"/>
  <c r="Y1052" i="3" s="1"/>
  <c r="U1052" i="3" s="1"/>
  <c r="T1052" i="3"/>
  <c r="S1052" i="3"/>
  <c r="B1052" i="3"/>
  <c r="AS1051" i="3"/>
  <c r="AH1051" i="3"/>
  <c r="AA1051" i="3"/>
  <c r="Y1051" i="3" s="1"/>
  <c r="U1051" i="3" s="1"/>
  <c r="T1051" i="3"/>
  <c r="S1051" i="3"/>
  <c r="B1051" i="3"/>
  <c r="AS1050" i="3"/>
  <c r="AH1050" i="3"/>
  <c r="AA1050" i="3"/>
  <c r="Y1050" i="3" s="1"/>
  <c r="U1050" i="3" s="1"/>
  <c r="T1050" i="3"/>
  <c r="S1050" i="3"/>
  <c r="B1050" i="3"/>
  <c r="AS1049" i="3"/>
  <c r="AH1049" i="3"/>
  <c r="AA1049" i="3"/>
  <c r="Y1049" i="3" s="1"/>
  <c r="U1049" i="3" s="1"/>
  <c r="T1049" i="3"/>
  <c r="S1049" i="3"/>
  <c r="B1049" i="3"/>
  <c r="AS1048" i="3"/>
  <c r="AH1048" i="3"/>
  <c r="AA1048" i="3"/>
  <c r="Y1048" i="3" s="1"/>
  <c r="U1048" i="3" s="1"/>
  <c r="T1048" i="3"/>
  <c r="S1048" i="3"/>
  <c r="B1048" i="3"/>
  <c r="AS1047" i="3"/>
  <c r="AH1047" i="3"/>
  <c r="AA1047" i="3"/>
  <c r="Y1047" i="3" s="1"/>
  <c r="U1047" i="3" s="1"/>
  <c r="T1047" i="3"/>
  <c r="S1047" i="3"/>
  <c r="B1047" i="3"/>
  <c r="AS1046" i="3"/>
  <c r="AH1046" i="3"/>
  <c r="AA1046" i="3"/>
  <c r="Y1046" i="3" s="1"/>
  <c r="U1046" i="3" s="1"/>
  <c r="T1046" i="3"/>
  <c r="S1046" i="3"/>
  <c r="B1046" i="3"/>
  <c r="AS1045" i="3"/>
  <c r="AH1045" i="3"/>
  <c r="AA1045" i="3"/>
  <c r="Y1045" i="3" s="1"/>
  <c r="U1045" i="3" s="1"/>
  <c r="T1045" i="3"/>
  <c r="S1045" i="3"/>
  <c r="B1045" i="3"/>
  <c r="AS1044" i="3"/>
  <c r="AR1044" i="3" s="1"/>
  <c r="U1044" i="3" s="1"/>
  <c r="AH1044" i="3"/>
  <c r="AA1044" i="3"/>
  <c r="Y1044" i="3" s="1"/>
  <c r="T1044" i="3"/>
  <c r="S1044" i="3"/>
  <c r="B1044" i="3"/>
  <c r="AS1043" i="3"/>
  <c r="AH1043" i="3"/>
  <c r="AA1043" i="3"/>
  <c r="Y1043" i="3" s="1"/>
  <c r="U1043" i="3" s="1"/>
  <c r="T1043" i="3"/>
  <c r="S1043" i="3"/>
  <c r="B1043" i="3"/>
  <c r="AS1042" i="3"/>
  <c r="AH1042" i="3"/>
  <c r="AA1042" i="3"/>
  <c r="Y1042" i="3" s="1"/>
  <c r="T1042" i="3"/>
  <c r="V1042" i="3" s="1"/>
  <c r="S1042" i="3"/>
  <c r="B1042" i="3"/>
  <c r="AS1041" i="3"/>
  <c r="AH1041" i="3"/>
  <c r="AA1041" i="3"/>
  <c r="Y1041" i="3" s="1"/>
  <c r="T1041" i="3"/>
  <c r="V1041" i="3" s="1"/>
  <c r="S1041" i="3"/>
  <c r="B1041" i="3"/>
  <c r="AS1040" i="3"/>
  <c r="AH1040" i="3"/>
  <c r="AA1040" i="3"/>
  <c r="Y1040" i="3" s="1"/>
  <c r="T1040" i="3"/>
  <c r="V1040" i="3" s="1"/>
  <c r="S1040" i="3"/>
  <c r="B1040" i="3"/>
  <c r="AS1039" i="3"/>
  <c r="AH1039" i="3"/>
  <c r="AA1039" i="3"/>
  <c r="Y1039" i="3" s="1"/>
  <c r="U1039" i="3" s="1"/>
  <c r="T1039" i="3"/>
  <c r="S1039" i="3"/>
  <c r="B1039" i="3"/>
  <c r="AS1038" i="3"/>
  <c r="AH1038" i="3"/>
  <c r="AA1038" i="3"/>
  <c r="Y1038" i="3" s="1"/>
  <c r="U1038" i="3" s="1"/>
  <c r="T1038" i="3"/>
  <c r="S1038" i="3"/>
  <c r="B1038" i="3"/>
  <c r="AS1037" i="3"/>
  <c r="AH1037" i="3"/>
  <c r="AA1037" i="3"/>
  <c r="Y1037" i="3" s="1"/>
  <c r="U1037" i="3" s="1"/>
  <c r="T1037" i="3"/>
  <c r="S1037" i="3"/>
  <c r="B1037" i="3"/>
  <c r="AS1036" i="3"/>
  <c r="AH1036" i="3"/>
  <c r="AA1036" i="3"/>
  <c r="Y1036" i="3" s="1"/>
  <c r="U1036" i="3" s="1"/>
  <c r="T1036" i="3"/>
  <c r="S1036" i="3"/>
  <c r="B1036" i="3"/>
  <c r="AS1035" i="3"/>
  <c r="AH1035" i="3"/>
  <c r="AA1035" i="3"/>
  <c r="Y1035" i="3" s="1"/>
  <c r="U1035" i="3" s="1"/>
  <c r="T1035" i="3"/>
  <c r="S1035" i="3"/>
  <c r="B1035" i="3"/>
  <c r="AS1034" i="3"/>
  <c r="AH1034" i="3"/>
  <c r="AG1034" i="3" s="1"/>
  <c r="U1034" i="3" s="1"/>
  <c r="AA1034" i="3"/>
  <c r="Y1034" i="3" s="1"/>
  <c r="T1034" i="3"/>
  <c r="S1034" i="3"/>
  <c r="B1034" i="3"/>
  <c r="AS1033" i="3"/>
  <c r="AH1033" i="3"/>
  <c r="AA1033" i="3"/>
  <c r="Y1033" i="3" s="1"/>
  <c r="U1033" i="3" s="1"/>
  <c r="T1033" i="3"/>
  <c r="S1033" i="3"/>
  <c r="B1033" i="3"/>
  <c r="AS1032" i="3"/>
  <c r="AH1032" i="3"/>
  <c r="AA1032" i="3"/>
  <c r="Y1032" i="3" s="1"/>
  <c r="U1032" i="3" s="1"/>
  <c r="T1032" i="3"/>
  <c r="S1032" i="3"/>
  <c r="B1032" i="3"/>
  <c r="AS1031" i="3"/>
  <c r="AH1031" i="3"/>
  <c r="AA1031" i="3"/>
  <c r="Y1031" i="3" s="1"/>
  <c r="U1031" i="3" s="1"/>
  <c r="T1031" i="3"/>
  <c r="S1031" i="3"/>
  <c r="B1031" i="3"/>
  <c r="AS1030" i="3"/>
  <c r="AH1030" i="3"/>
  <c r="AA1030" i="3"/>
  <c r="R1030" i="3"/>
  <c r="Q1030" i="3"/>
  <c r="L1030" i="3"/>
  <c r="K1030" i="3"/>
  <c r="J1030" i="3"/>
  <c r="I1030" i="3"/>
  <c r="AS1029" i="3"/>
  <c r="AH1029" i="3"/>
  <c r="AA1029" i="3"/>
  <c r="Y1029" i="3" s="1"/>
  <c r="T1029" i="3"/>
  <c r="U1029" i="3" s="1"/>
  <c r="V1029" i="3" s="1"/>
  <c r="S1029" i="3"/>
  <c r="K1029" i="3"/>
  <c r="K1015" i="3" s="1"/>
  <c r="B1029" i="3"/>
  <c r="AS1028" i="3"/>
  <c r="AH1028" i="3"/>
  <c r="AA1028" i="3"/>
  <c r="Y1028" i="3" s="1"/>
  <c r="T1028" i="3"/>
  <c r="U1028" i="3" s="1"/>
  <c r="V1028" i="3" s="1"/>
  <c r="S1028" i="3"/>
  <c r="B1028" i="3"/>
  <c r="AS1027" i="3"/>
  <c r="AH1027" i="3"/>
  <c r="AA1027" i="3"/>
  <c r="Y1027" i="3" s="1"/>
  <c r="T1027" i="3"/>
  <c r="U1027" i="3" s="1"/>
  <c r="V1027" i="3" s="1"/>
  <c r="S1027" i="3"/>
  <c r="B1027" i="3"/>
  <c r="AS1026" i="3"/>
  <c r="AH1026" i="3"/>
  <c r="AA1026" i="3"/>
  <c r="Y1026" i="3" s="1"/>
  <c r="T1026" i="3"/>
  <c r="S1026" i="3"/>
  <c r="B1026" i="3"/>
  <c r="AS1025" i="3"/>
  <c r="AH1025" i="3"/>
  <c r="AA1025" i="3"/>
  <c r="Y1025" i="3" s="1"/>
  <c r="T1025" i="3"/>
  <c r="U1025" i="3" s="1"/>
  <c r="V1025" i="3" s="1"/>
  <c r="S1025" i="3"/>
  <c r="B1025" i="3"/>
  <c r="AS1024" i="3"/>
  <c r="AH1024" i="3"/>
  <c r="AA1024" i="3"/>
  <c r="Y1024" i="3" s="1"/>
  <c r="T1024" i="3"/>
  <c r="U1024" i="3" s="1"/>
  <c r="V1024" i="3" s="1"/>
  <c r="S1024" i="3"/>
  <c r="B1024" i="3"/>
  <c r="AS1023" i="3"/>
  <c r="AH1023" i="3"/>
  <c r="AA1023" i="3"/>
  <c r="Y1023" i="3" s="1"/>
  <c r="T1023" i="3"/>
  <c r="U1023" i="3" s="1"/>
  <c r="V1023" i="3" s="1"/>
  <c r="S1023" i="3"/>
  <c r="B1023" i="3"/>
  <c r="AS1022" i="3"/>
  <c r="AH1022" i="3"/>
  <c r="AA1022" i="3"/>
  <c r="Y1022" i="3" s="1"/>
  <c r="T1022" i="3"/>
  <c r="U1022" i="3" s="1"/>
  <c r="V1022" i="3" s="1"/>
  <c r="S1022" i="3"/>
  <c r="B1022" i="3"/>
  <c r="AS1021" i="3"/>
  <c r="AH1021" i="3"/>
  <c r="AA1021" i="3"/>
  <c r="Y1021" i="3" s="1"/>
  <c r="T1021" i="3"/>
  <c r="V1021" i="3" s="1"/>
  <c r="S1021" i="3"/>
  <c r="B1021" i="3"/>
  <c r="AS1020" i="3"/>
  <c r="AH1020" i="3"/>
  <c r="AA1020" i="3"/>
  <c r="Y1020" i="3" s="1"/>
  <c r="T1020" i="3"/>
  <c r="U1020" i="3" s="1"/>
  <c r="S1020" i="3"/>
  <c r="B1020" i="3"/>
  <c r="AS1019" i="3"/>
  <c r="AH1019" i="3"/>
  <c r="AA1019" i="3"/>
  <c r="Y1019" i="3" s="1"/>
  <c r="T1019" i="3"/>
  <c r="U1019" i="3" s="1"/>
  <c r="V1019" i="3" s="1"/>
  <c r="S1019" i="3"/>
  <c r="B1019" i="3"/>
  <c r="AS1018" i="3"/>
  <c r="AH1018" i="3"/>
  <c r="AA1018" i="3"/>
  <c r="Y1018" i="3" s="1"/>
  <c r="T1018" i="3"/>
  <c r="U1018" i="3" s="1"/>
  <c r="V1018" i="3" s="1"/>
  <c r="S1018" i="3"/>
  <c r="B1018" i="3"/>
  <c r="AS1017" i="3"/>
  <c r="AH1017" i="3"/>
  <c r="AA1017" i="3"/>
  <c r="Y1017" i="3" s="1"/>
  <c r="T1017" i="3"/>
  <c r="U1017" i="3" s="1"/>
  <c r="V1017" i="3" s="1"/>
  <c r="S1017" i="3"/>
  <c r="B1017" i="3"/>
  <c r="AS1016" i="3"/>
  <c r="AH1016" i="3"/>
  <c r="AA1016" i="3"/>
  <c r="Y1016" i="3" s="1"/>
  <c r="T1016" i="3"/>
  <c r="U1016" i="3" s="1"/>
  <c r="V1016" i="3" s="1"/>
  <c r="S1016" i="3"/>
  <c r="B1016" i="3"/>
  <c r="AS1015" i="3"/>
  <c r="AH1015" i="3"/>
  <c r="AA1015" i="3"/>
  <c r="R1015" i="3"/>
  <c r="Q1015" i="3"/>
  <c r="L1015" i="3"/>
  <c r="J1015" i="3"/>
  <c r="I1015" i="3"/>
  <c r="AS1014" i="3"/>
  <c r="AR1014" i="3" s="1"/>
  <c r="AH1014" i="3"/>
  <c r="AA1014" i="3"/>
  <c r="Y1014" i="3" s="1"/>
  <c r="T1014" i="3"/>
  <c r="U1014" i="3" s="1"/>
  <c r="V1014" i="3" s="1"/>
  <c r="S1014" i="3"/>
  <c r="B1014" i="3"/>
  <c r="AS1013" i="3"/>
  <c r="AR1013" i="3" s="1"/>
  <c r="AH1013" i="3"/>
  <c r="AA1013" i="3"/>
  <c r="Y1013" i="3" s="1"/>
  <c r="T1013" i="3"/>
  <c r="S1013" i="3"/>
  <c r="B1013" i="3"/>
  <c r="AS1012" i="3"/>
  <c r="AR1012" i="3" s="1"/>
  <c r="AH1012" i="3"/>
  <c r="AA1012" i="3"/>
  <c r="Y1012" i="3" s="1"/>
  <c r="T1012" i="3"/>
  <c r="U1012" i="3" s="1"/>
  <c r="V1012" i="3" s="1"/>
  <c r="S1012" i="3"/>
  <c r="B1012" i="3"/>
  <c r="AS1011" i="3"/>
  <c r="AR1011" i="3" s="1"/>
  <c r="U1011" i="3" s="1"/>
  <c r="AH1011" i="3"/>
  <c r="AA1011" i="3"/>
  <c r="Y1011" i="3" s="1"/>
  <c r="T1011" i="3"/>
  <c r="S1011" i="3"/>
  <c r="B1011" i="3"/>
  <c r="AS1010" i="3"/>
  <c r="AH1010" i="3"/>
  <c r="AA1010" i="3"/>
  <c r="Y1010" i="3" s="1"/>
  <c r="U1010" i="3" s="1"/>
  <c r="T1010" i="3"/>
  <c r="S1010" i="3"/>
  <c r="B1010" i="3"/>
  <c r="AS1009" i="3"/>
  <c r="AH1009" i="3"/>
  <c r="AA1009" i="3"/>
  <c r="Y1009" i="3" s="1"/>
  <c r="U1009" i="3" s="1"/>
  <c r="T1009" i="3"/>
  <c r="S1009" i="3"/>
  <c r="B1009" i="3"/>
  <c r="AS1008" i="3"/>
  <c r="AH1008" i="3"/>
  <c r="AA1008" i="3"/>
  <c r="Y1008" i="3" s="1"/>
  <c r="U1008" i="3" s="1"/>
  <c r="T1008" i="3"/>
  <c r="S1008" i="3"/>
  <c r="B1008" i="3"/>
  <c r="AS1007" i="3"/>
  <c r="AH1007" i="3"/>
  <c r="AA1007" i="3"/>
  <c r="Y1007" i="3" s="1"/>
  <c r="U1007" i="3" s="1"/>
  <c r="T1007" i="3"/>
  <c r="S1007" i="3"/>
  <c r="B1007" i="3"/>
  <c r="AS1006" i="3"/>
  <c r="AH1006" i="3"/>
  <c r="AA1006" i="3"/>
  <c r="Y1006" i="3" s="1"/>
  <c r="U1006" i="3" s="1"/>
  <c r="T1006" i="3"/>
  <c r="S1006" i="3"/>
  <c r="B1006" i="3"/>
  <c r="AS1005" i="3"/>
  <c r="AH1005" i="3"/>
  <c r="AA1005" i="3"/>
  <c r="Y1005" i="3" s="1"/>
  <c r="U1005" i="3" s="1"/>
  <c r="T1005" i="3"/>
  <c r="S1005" i="3"/>
  <c r="B1005" i="3"/>
  <c r="AS1004" i="3"/>
  <c r="AH1004" i="3"/>
  <c r="AA1004" i="3"/>
  <c r="Y1004" i="3" s="1"/>
  <c r="U1004" i="3" s="1"/>
  <c r="T1004" i="3"/>
  <c r="S1004" i="3"/>
  <c r="B1004" i="3"/>
  <c r="AS1003" i="3"/>
  <c r="AH1003" i="3"/>
  <c r="AA1003" i="3"/>
  <c r="Y1003" i="3" s="1"/>
  <c r="U1003" i="3" s="1"/>
  <c r="T1003" i="3"/>
  <c r="S1003" i="3"/>
  <c r="B1003" i="3"/>
  <c r="AS1002" i="3"/>
  <c r="AH1002" i="3"/>
  <c r="AA1002" i="3"/>
  <c r="Y1002" i="3" s="1"/>
  <c r="U1002" i="3" s="1"/>
  <c r="T1002" i="3"/>
  <c r="S1002" i="3"/>
  <c r="B1002" i="3"/>
  <c r="AS1001" i="3"/>
  <c r="AH1001" i="3"/>
  <c r="AA1001" i="3"/>
  <c r="Y1001" i="3" s="1"/>
  <c r="U1001" i="3" s="1"/>
  <c r="T1001" i="3"/>
  <c r="S1001" i="3"/>
  <c r="B1001" i="3"/>
  <c r="AS1000" i="3"/>
  <c r="AH1000" i="3"/>
  <c r="AA1000" i="3"/>
  <c r="Y1000" i="3" s="1"/>
  <c r="U1000" i="3" s="1"/>
  <c r="T1000" i="3"/>
  <c r="S1000" i="3"/>
  <c r="B1000" i="3"/>
  <c r="AS999" i="3"/>
  <c r="AH999" i="3"/>
  <c r="AA999" i="3"/>
  <c r="Y999" i="3" s="1"/>
  <c r="U999" i="3" s="1"/>
  <c r="T999" i="3"/>
  <c r="S999" i="3"/>
  <c r="B999" i="3"/>
  <c r="AS998" i="3"/>
  <c r="AH998" i="3"/>
  <c r="AA998" i="3"/>
  <c r="Y998" i="3" s="1"/>
  <c r="U998" i="3" s="1"/>
  <c r="T998" i="3"/>
  <c r="S998" i="3"/>
  <c r="B998" i="3"/>
  <c r="AS997" i="3"/>
  <c r="AH997" i="3"/>
  <c r="AA997" i="3"/>
  <c r="Y997" i="3" s="1"/>
  <c r="U997" i="3" s="1"/>
  <c r="T997" i="3"/>
  <c r="S997" i="3"/>
  <c r="B997" i="3"/>
  <c r="AS996" i="3"/>
  <c r="AH996" i="3"/>
  <c r="AA996" i="3"/>
  <c r="Y996" i="3" s="1"/>
  <c r="U996" i="3" s="1"/>
  <c r="T996" i="3"/>
  <c r="S996" i="3"/>
  <c r="B996" i="3"/>
  <c r="AS995" i="3"/>
  <c r="AH995" i="3"/>
  <c r="AA995" i="3"/>
  <c r="Y995" i="3" s="1"/>
  <c r="U995" i="3" s="1"/>
  <c r="T995" i="3"/>
  <c r="S995" i="3"/>
  <c r="B995" i="3"/>
  <c r="AS994" i="3"/>
  <c r="AH994" i="3"/>
  <c r="AA994" i="3"/>
  <c r="Y994" i="3" s="1"/>
  <c r="U994" i="3" s="1"/>
  <c r="T994" i="3"/>
  <c r="S994" i="3"/>
  <c r="B994" i="3"/>
  <c r="AS993" i="3"/>
  <c r="AH993" i="3"/>
  <c r="AA993" i="3"/>
  <c r="Y993" i="3" s="1"/>
  <c r="U993" i="3" s="1"/>
  <c r="T993" i="3"/>
  <c r="S993" i="3"/>
  <c r="B993" i="3"/>
  <c r="AS992" i="3"/>
  <c r="AH992" i="3"/>
  <c r="AA992" i="3"/>
  <c r="Y992" i="3" s="1"/>
  <c r="U992" i="3" s="1"/>
  <c r="T992" i="3"/>
  <c r="S992" i="3"/>
  <c r="B992" i="3"/>
  <c r="AS991" i="3"/>
  <c r="AH991" i="3"/>
  <c r="AG991" i="3" s="1"/>
  <c r="U991" i="3" s="1"/>
  <c r="AA991" i="3"/>
  <c r="Y991" i="3" s="1"/>
  <c r="T991" i="3"/>
  <c r="S991" i="3"/>
  <c r="B991" i="3"/>
  <c r="AS990" i="3"/>
  <c r="AH990" i="3"/>
  <c r="AA990" i="3"/>
  <c r="Y990" i="3" s="1"/>
  <c r="U990" i="3" s="1"/>
  <c r="T990" i="3"/>
  <c r="S990" i="3"/>
  <c r="B990" i="3"/>
  <c r="AS989" i="3"/>
  <c r="AH989" i="3"/>
  <c r="AA989" i="3"/>
  <c r="Y989" i="3" s="1"/>
  <c r="U989" i="3" s="1"/>
  <c r="T989" i="3"/>
  <c r="S989" i="3"/>
  <c r="B989" i="3"/>
  <c r="AS988" i="3"/>
  <c r="AH988" i="3"/>
  <c r="AG988" i="3" s="1"/>
  <c r="U988" i="3" s="1"/>
  <c r="AA988" i="3"/>
  <c r="Y988" i="3" s="1"/>
  <c r="T988" i="3"/>
  <c r="S988" i="3"/>
  <c r="B988" i="3"/>
  <c r="AS987" i="3"/>
  <c r="AH987" i="3"/>
  <c r="AA987" i="3"/>
  <c r="Y987" i="3" s="1"/>
  <c r="U987" i="3" s="1"/>
  <c r="T987" i="3"/>
  <c r="S987" i="3"/>
  <c r="B987" i="3"/>
  <c r="AS986" i="3"/>
  <c r="AH986" i="3"/>
  <c r="AA986" i="3"/>
  <c r="Y986" i="3" s="1"/>
  <c r="U986" i="3" s="1"/>
  <c r="T986" i="3"/>
  <c r="S986" i="3"/>
  <c r="B986" i="3"/>
  <c r="AS985" i="3"/>
  <c r="AH985" i="3"/>
  <c r="AA985" i="3"/>
  <c r="Y985" i="3" s="1"/>
  <c r="U985" i="3" s="1"/>
  <c r="T985" i="3"/>
  <c r="S985" i="3"/>
  <c r="B985" i="3"/>
  <c r="AS984" i="3"/>
  <c r="AH984" i="3"/>
  <c r="AA984" i="3"/>
  <c r="Y984" i="3" s="1"/>
  <c r="U984" i="3" s="1"/>
  <c r="T984" i="3"/>
  <c r="S984" i="3"/>
  <c r="B984" i="3"/>
  <c r="AS983" i="3"/>
  <c r="AH983" i="3"/>
  <c r="AA983" i="3"/>
  <c r="Y983" i="3" s="1"/>
  <c r="U983" i="3" s="1"/>
  <c r="T983" i="3"/>
  <c r="S983" i="3"/>
  <c r="B983" i="3"/>
  <c r="AS982" i="3"/>
  <c r="AH982" i="3"/>
  <c r="AA982" i="3"/>
  <c r="Y982" i="3" s="1"/>
  <c r="U982" i="3" s="1"/>
  <c r="T982" i="3"/>
  <c r="S982" i="3"/>
  <c r="B982" i="3"/>
  <c r="AS981" i="3"/>
  <c r="AR981" i="3" s="1"/>
  <c r="AH981" i="3"/>
  <c r="AA981" i="3"/>
  <c r="Y981" i="3" s="1"/>
  <c r="T981" i="3"/>
  <c r="U981" i="3" s="1"/>
  <c r="V981" i="3" s="1"/>
  <c r="S981" i="3"/>
  <c r="B981" i="3"/>
  <c r="AS980" i="3"/>
  <c r="AH980" i="3"/>
  <c r="AA980" i="3"/>
  <c r="Y980" i="3" s="1"/>
  <c r="U980" i="3" s="1"/>
  <c r="T980" i="3"/>
  <c r="S980" i="3"/>
  <c r="B980" i="3"/>
  <c r="AS979" i="3"/>
  <c r="AH979" i="3"/>
  <c r="AA979" i="3"/>
  <c r="Y979" i="3" s="1"/>
  <c r="U979" i="3" s="1"/>
  <c r="T979" i="3"/>
  <c r="S979" i="3"/>
  <c r="B979" i="3"/>
  <c r="AS978" i="3"/>
  <c r="AH978" i="3"/>
  <c r="AA978" i="3"/>
  <c r="Y978" i="3" s="1"/>
  <c r="U978" i="3" s="1"/>
  <c r="T978" i="3"/>
  <c r="S978" i="3"/>
  <c r="B978" i="3"/>
  <c r="AS977" i="3"/>
  <c r="AH977" i="3"/>
  <c r="AA977" i="3"/>
  <c r="Y977" i="3" s="1"/>
  <c r="U977" i="3" s="1"/>
  <c r="T977" i="3"/>
  <c r="S977" i="3"/>
  <c r="B977" i="3"/>
  <c r="AS976" i="3"/>
  <c r="AH976" i="3"/>
  <c r="AA976" i="3"/>
  <c r="Y976" i="3" s="1"/>
  <c r="U976" i="3" s="1"/>
  <c r="T976" i="3"/>
  <c r="S976" i="3"/>
  <c r="B976" i="3"/>
  <c r="AS975" i="3"/>
  <c r="AH975" i="3"/>
  <c r="AA975" i="3"/>
  <c r="Y975" i="3" s="1"/>
  <c r="U975" i="3" s="1"/>
  <c r="T975" i="3"/>
  <c r="S975" i="3"/>
  <c r="B975" i="3"/>
  <c r="AS974" i="3"/>
  <c r="AH974" i="3"/>
  <c r="AA974" i="3"/>
  <c r="Y974" i="3" s="1"/>
  <c r="U974" i="3" s="1"/>
  <c r="T974" i="3"/>
  <c r="S974" i="3"/>
  <c r="B974" i="3"/>
  <c r="AS973" i="3"/>
  <c r="AH973" i="3"/>
  <c r="AA973" i="3"/>
  <c r="Y973" i="3" s="1"/>
  <c r="U973" i="3" s="1"/>
  <c r="T973" i="3"/>
  <c r="S973" i="3"/>
  <c r="B973" i="3"/>
  <c r="AS972" i="3"/>
  <c r="AH972" i="3"/>
  <c r="AA972" i="3"/>
  <c r="Y972" i="3" s="1"/>
  <c r="U972" i="3" s="1"/>
  <c r="T972" i="3"/>
  <c r="S972" i="3"/>
  <c r="B972" i="3"/>
  <c r="AS971" i="3"/>
  <c r="AH971" i="3"/>
  <c r="AA971" i="3"/>
  <c r="Y971" i="3" s="1"/>
  <c r="U971" i="3" s="1"/>
  <c r="T971" i="3"/>
  <c r="S971" i="3"/>
  <c r="B971" i="3"/>
  <c r="AS970" i="3"/>
  <c r="AH970" i="3"/>
  <c r="AA970" i="3"/>
  <c r="Y970" i="3" s="1"/>
  <c r="U970" i="3" s="1"/>
  <c r="T970" i="3"/>
  <c r="S970" i="3"/>
  <c r="B970" i="3"/>
  <c r="AS969" i="3"/>
  <c r="AH969" i="3"/>
  <c r="AA969" i="3"/>
  <c r="Y969" i="3" s="1"/>
  <c r="U969" i="3" s="1"/>
  <c r="T969" i="3"/>
  <c r="S969" i="3"/>
  <c r="B969" i="3"/>
  <c r="AS968" i="3"/>
  <c r="AH968" i="3"/>
  <c r="AA968" i="3"/>
  <c r="Y968" i="3" s="1"/>
  <c r="U968" i="3" s="1"/>
  <c r="T968" i="3"/>
  <c r="S968" i="3"/>
  <c r="B968" i="3"/>
  <c r="AS967" i="3"/>
  <c r="AH967" i="3"/>
  <c r="AA967" i="3"/>
  <c r="Y967" i="3" s="1"/>
  <c r="U967" i="3" s="1"/>
  <c r="T967" i="3"/>
  <c r="S967" i="3"/>
  <c r="B967" i="3"/>
  <c r="AS966" i="3"/>
  <c r="AH966" i="3"/>
  <c r="AA966" i="3"/>
  <c r="Y966" i="3" s="1"/>
  <c r="U966" i="3" s="1"/>
  <c r="T966" i="3"/>
  <c r="S966" i="3"/>
  <c r="B966" i="3"/>
  <c r="AS965" i="3"/>
  <c r="AH965" i="3"/>
  <c r="AA965" i="3"/>
  <c r="Y965" i="3" s="1"/>
  <c r="U965" i="3" s="1"/>
  <c r="T965" i="3"/>
  <c r="S965" i="3"/>
  <c r="B965" i="3"/>
  <c r="AS964" i="3"/>
  <c r="AH964" i="3"/>
  <c r="AA964" i="3"/>
  <c r="Y964" i="3" s="1"/>
  <c r="U964" i="3" s="1"/>
  <c r="T964" i="3"/>
  <c r="S964" i="3"/>
  <c r="B964" i="3"/>
  <c r="AS963" i="3"/>
  <c r="AH963" i="3"/>
  <c r="AA963" i="3"/>
  <c r="Y963" i="3" s="1"/>
  <c r="U963" i="3" s="1"/>
  <c r="T963" i="3"/>
  <c r="S963" i="3"/>
  <c r="B963" i="3"/>
  <c r="AS962" i="3"/>
  <c r="AH962" i="3"/>
  <c r="AA962" i="3"/>
  <c r="Y962" i="3" s="1"/>
  <c r="U962" i="3" s="1"/>
  <c r="T962" i="3"/>
  <c r="S962" i="3"/>
  <c r="B962" i="3"/>
  <c r="AS961" i="3"/>
  <c r="AH961" i="3"/>
  <c r="AA961" i="3"/>
  <c r="Y961" i="3" s="1"/>
  <c r="U961" i="3" s="1"/>
  <c r="T961" i="3"/>
  <c r="S961" i="3"/>
  <c r="B961" i="3"/>
  <c r="AS960" i="3"/>
  <c r="AH960" i="3"/>
  <c r="AA960" i="3"/>
  <c r="Y960" i="3" s="1"/>
  <c r="U960" i="3" s="1"/>
  <c r="T960" i="3"/>
  <c r="S960" i="3"/>
  <c r="B960" i="3"/>
  <c r="AS959" i="3"/>
  <c r="AH959" i="3"/>
  <c r="AA959" i="3"/>
  <c r="Y959" i="3" s="1"/>
  <c r="U959" i="3" s="1"/>
  <c r="T959" i="3"/>
  <c r="S959" i="3"/>
  <c r="B959" i="3"/>
  <c r="AS958" i="3"/>
  <c r="AH958" i="3"/>
  <c r="AA958" i="3"/>
  <c r="Y958" i="3" s="1"/>
  <c r="U958" i="3" s="1"/>
  <c r="T958" i="3"/>
  <c r="S958" i="3"/>
  <c r="B958" i="3"/>
  <c r="AS957" i="3"/>
  <c r="AH957" i="3"/>
  <c r="AA957" i="3"/>
  <c r="Y957" i="3" s="1"/>
  <c r="U957" i="3" s="1"/>
  <c r="T957" i="3"/>
  <c r="S957" i="3"/>
  <c r="B957" i="3"/>
  <c r="AS956" i="3"/>
  <c r="AH956" i="3"/>
  <c r="AA956" i="3"/>
  <c r="R956" i="3"/>
  <c r="Q956" i="3"/>
  <c r="L956" i="3"/>
  <c r="K956" i="3"/>
  <c r="J956" i="3"/>
  <c r="I956" i="3"/>
  <c r="T956" i="3" s="1"/>
  <c r="AS955" i="3"/>
  <c r="AH955" i="3"/>
  <c r="AA955" i="3"/>
  <c r="AS954" i="3"/>
  <c r="AH954" i="3"/>
  <c r="AA954" i="3"/>
  <c r="Y954" i="3" s="1"/>
  <c r="U954" i="3" s="1"/>
  <c r="U953" i="3" s="1"/>
  <c r="T954" i="3"/>
  <c r="S954" i="3"/>
  <c r="S953" i="3" s="1"/>
  <c r="B954" i="3"/>
  <c r="AS953" i="3"/>
  <c r="AH953" i="3"/>
  <c r="AA953" i="3"/>
  <c r="R953" i="3"/>
  <c r="Q953" i="3"/>
  <c r="L953" i="3"/>
  <c r="K953" i="3"/>
  <c r="J953" i="3"/>
  <c r="I953" i="3"/>
  <c r="AS952" i="3"/>
  <c r="AH952" i="3"/>
  <c r="AA952" i="3"/>
  <c r="Y952" i="3" s="1"/>
  <c r="U952" i="3" s="1"/>
  <c r="T952" i="3"/>
  <c r="S952" i="3"/>
  <c r="S951" i="3" s="1"/>
  <c r="B952" i="3"/>
  <c r="AS951" i="3"/>
  <c r="AH951" i="3"/>
  <c r="AA951" i="3"/>
  <c r="R951" i="3"/>
  <c r="Q951" i="3"/>
  <c r="L951" i="3"/>
  <c r="K951" i="3"/>
  <c r="J951" i="3"/>
  <c r="I951" i="3"/>
  <c r="T951" i="3" s="1"/>
  <c r="AS950" i="3"/>
  <c r="AH950" i="3"/>
  <c r="AA950" i="3"/>
  <c r="Y950" i="3" s="1"/>
  <c r="U950" i="3" s="1"/>
  <c r="T950" i="3"/>
  <c r="S950" i="3"/>
  <c r="B950" i="3"/>
  <c r="AS949" i="3"/>
  <c r="AH949" i="3"/>
  <c r="AA949" i="3"/>
  <c r="Y949" i="3" s="1"/>
  <c r="U949" i="3" s="1"/>
  <c r="T949" i="3"/>
  <c r="S949" i="3"/>
  <c r="B949" i="3"/>
  <c r="AS948" i="3"/>
  <c r="AH948" i="3"/>
  <c r="AA948" i="3"/>
  <c r="R948" i="3"/>
  <c r="Q948" i="3"/>
  <c r="L948" i="3"/>
  <c r="K948" i="3"/>
  <c r="J948" i="3"/>
  <c r="I948" i="3"/>
  <c r="T948" i="3" s="1"/>
  <c r="AS947" i="3"/>
  <c r="AH947" i="3"/>
  <c r="AA947" i="3"/>
  <c r="Y947" i="3" s="1"/>
  <c r="U947" i="3" s="1"/>
  <c r="T947" i="3"/>
  <c r="S947" i="3"/>
  <c r="S946" i="3" s="1"/>
  <c r="B947" i="3"/>
  <c r="AS946" i="3"/>
  <c r="AH946" i="3"/>
  <c r="AA946" i="3"/>
  <c r="R946" i="3"/>
  <c r="Q946" i="3"/>
  <c r="L946" i="3"/>
  <c r="K946" i="3"/>
  <c r="J946" i="3"/>
  <c r="I946" i="3"/>
  <c r="T946" i="3" s="1"/>
  <c r="AS945" i="3"/>
  <c r="AH945" i="3"/>
  <c r="AG945" i="3" s="1"/>
  <c r="U945" i="3" s="1"/>
  <c r="AA945" i="3"/>
  <c r="Y945" i="3" s="1"/>
  <c r="T945" i="3"/>
  <c r="S945" i="3"/>
  <c r="B945" i="3"/>
  <c r="AS944" i="3"/>
  <c r="AH944" i="3"/>
  <c r="AA944" i="3"/>
  <c r="Y944" i="3" s="1"/>
  <c r="U944" i="3" s="1"/>
  <c r="T944" i="3"/>
  <c r="S944" i="3"/>
  <c r="B944" i="3"/>
  <c r="AS943" i="3"/>
  <c r="AH943" i="3"/>
  <c r="AA943" i="3"/>
  <c r="Y943" i="3" s="1"/>
  <c r="U943" i="3" s="1"/>
  <c r="T943" i="3"/>
  <c r="S943" i="3"/>
  <c r="B943" i="3"/>
  <c r="AS942" i="3"/>
  <c r="AH942" i="3"/>
  <c r="AA942" i="3"/>
  <c r="R942" i="3"/>
  <c r="Q942" i="3"/>
  <c r="L942" i="3"/>
  <c r="K942" i="3"/>
  <c r="J942" i="3"/>
  <c r="I942" i="3"/>
  <c r="AS941" i="3"/>
  <c r="AH941" i="3"/>
  <c r="AA941" i="3"/>
  <c r="Y941" i="3" s="1"/>
  <c r="U941" i="3" s="1"/>
  <c r="T941" i="3"/>
  <c r="S941" i="3"/>
  <c r="S940" i="3" s="1"/>
  <c r="B941" i="3"/>
  <c r="AS940" i="3"/>
  <c r="AH940" i="3"/>
  <c r="AA940" i="3"/>
  <c r="R940" i="3"/>
  <c r="Q940" i="3"/>
  <c r="L940" i="3"/>
  <c r="K940" i="3"/>
  <c r="J940" i="3"/>
  <c r="I940" i="3"/>
  <c r="T940" i="3" s="1"/>
  <c r="AS939" i="3"/>
  <c r="AH939" i="3"/>
  <c r="AA939" i="3"/>
  <c r="Y939" i="3" s="1"/>
  <c r="U939" i="3" s="1"/>
  <c r="U938" i="3" s="1"/>
  <c r="T939" i="3"/>
  <c r="S939" i="3"/>
  <c r="S938" i="3" s="1"/>
  <c r="B939" i="3"/>
  <c r="AS938" i="3"/>
  <c r="AH938" i="3"/>
  <c r="AA938" i="3"/>
  <c r="R938" i="3"/>
  <c r="Q938" i="3"/>
  <c r="L938" i="3"/>
  <c r="K938" i="3"/>
  <c r="J938" i="3"/>
  <c r="I938" i="3"/>
  <c r="T938" i="3" s="1"/>
  <c r="AS937" i="3"/>
  <c r="AH937" i="3"/>
  <c r="AA937" i="3"/>
  <c r="Y937" i="3" s="1"/>
  <c r="U937" i="3" s="1"/>
  <c r="T937" i="3"/>
  <c r="S937" i="3"/>
  <c r="S936" i="3" s="1"/>
  <c r="B937" i="3"/>
  <c r="AS936" i="3"/>
  <c r="AH936" i="3"/>
  <c r="AA936" i="3"/>
  <c r="R936" i="3"/>
  <c r="Q936" i="3"/>
  <c r="L936" i="3"/>
  <c r="K936" i="3"/>
  <c r="J936" i="3"/>
  <c r="I936" i="3"/>
  <c r="T936" i="3" s="1"/>
  <c r="AS935" i="3"/>
  <c r="AH935" i="3"/>
  <c r="AG935" i="3" s="1"/>
  <c r="U935" i="3" s="1"/>
  <c r="AA935" i="3"/>
  <c r="Y935" i="3" s="1"/>
  <c r="T935" i="3"/>
  <c r="S935" i="3"/>
  <c r="B935" i="3"/>
  <c r="AS934" i="3"/>
  <c r="AH934" i="3"/>
  <c r="AA934" i="3"/>
  <c r="Y934" i="3" s="1"/>
  <c r="U934" i="3" s="1"/>
  <c r="T934" i="3"/>
  <c r="S934" i="3"/>
  <c r="B934" i="3"/>
  <c r="AS933" i="3"/>
  <c r="AH933" i="3"/>
  <c r="AA933" i="3"/>
  <c r="Y933" i="3" s="1"/>
  <c r="U933" i="3" s="1"/>
  <c r="T933" i="3"/>
  <c r="S933" i="3"/>
  <c r="B933" i="3"/>
  <c r="AS932" i="3"/>
  <c r="AH932" i="3"/>
  <c r="AA932" i="3"/>
  <c r="R932" i="3"/>
  <c r="Q932" i="3"/>
  <c r="L932" i="3"/>
  <c r="K932" i="3"/>
  <c r="J932" i="3"/>
  <c r="I932" i="3"/>
  <c r="T932" i="3" s="1"/>
  <c r="AS931" i="3"/>
  <c r="AH931" i="3"/>
  <c r="AA931" i="3"/>
  <c r="Y931" i="3" s="1"/>
  <c r="U931" i="3" s="1"/>
  <c r="T931" i="3"/>
  <c r="S931" i="3"/>
  <c r="B931" i="3"/>
  <c r="AS930" i="3"/>
  <c r="AH930" i="3"/>
  <c r="AA930" i="3"/>
  <c r="Y930" i="3" s="1"/>
  <c r="U930" i="3" s="1"/>
  <c r="T930" i="3"/>
  <c r="S930" i="3"/>
  <c r="B930" i="3"/>
  <c r="AS929" i="3"/>
  <c r="AH929" i="3"/>
  <c r="AA929" i="3"/>
  <c r="Y929" i="3" s="1"/>
  <c r="T929" i="3"/>
  <c r="U929" i="3" s="1"/>
  <c r="V929" i="3" s="1"/>
  <c r="S929" i="3"/>
  <c r="B929" i="3"/>
  <c r="AS928" i="3"/>
  <c r="AH928" i="3"/>
  <c r="AA928" i="3"/>
  <c r="R928" i="3"/>
  <c r="Q928" i="3"/>
  <c r="L928" i="3"/>
  <c r="K928" i="3"/>
  <c r="J928" i="3"/>
  <c r="I928" i="3"/>
  <c r="AS927" i="3"/>
  <c r="AH927" i="3"/>
  <c r="AA927" i="3"/>
  <c r="Y927" i="3" s="1"/>
  <c r="U927" i="3" s="1"/>
  <c r="T927" i="3"/>
  <c r="S927" i="3"/>
  <c r="S926" i="3" s="1"/>
  <c r="B927" i="3"/>
  <c r="AS926" i="3"/>
  <c r="AH926" i="3"/>
  <c r="AA926" i="3"/>
  <c r="R926" i="3"/>
  <c r="Q926" i="3"/>
  <c r="L926" i="3"/>
  <c r="K926" i="3"/>
  <c r="J926" i="3"/>
  <c r="I926" i="3"/>
  <c r="T926" i="3" s="1"/>
  <c r="AS925" i="3"/>
  <c r="AH925" i="3"/>
  <c r="AA925" i="3"/>
  <c r="Y925" i="3" s="1"/>
  <c r="T925" i="3"/>
  <c r="U925" i="3" s="1"/>
  <c r="V925" i="3" s="1"/>
  <c r="S925" i="3"/>
  <c r="S924" i="3" s="1"/>
  <c r="B925" i="3"/>
  <c r="AS924" i="3"/>
  <c r="AH924" i="3"/>
  <c r="AA924" i="3"/>
  <c r="R924" i="3"/>
  <c r="Q924" i="3"/>
  <c r="L924" i="3"/>
  <c r="K924" i="3"/>
  <c r="J924" i="3"/>
  <c r="I924" i="3"/>
  <c r="T924" i="3" s="1"/>
  <c r="U924" i="3" s="1"/>
  <c r="V924" i="3" s="1"/>
  <c r="AS923" i="3"/>
  <c r="AH923" i="3"/>
  <c r="AA923" i="3"/>
  <c r="Y923" i="3" s="1"/>
  <c r="U923" i="3" s="1"/>
  <c r="T923" i="3"/>
  <c r="S923" i="3"/>
  <c r="S922" i="3" s="1"/>
  <c r="B923" i="3"/>
  <c r="AS922" i="3"/>
  <c r="AH922" i="3"/>
  <c r="AA922" i="3"/>
  <c r="R922" i="3"/>
  <c r="Q922" i="3"/>
  <c r="L922" i="3"/>
  <c r="K922" i="3"/>
  <c r="J922" i="3"/>
  <c r="I922" i="3"/>
  <c r="T922" i="3" s="1"/>
  <c r="AS921" i="3"/>
  <c r="AH921" i="3"/>
  <c r="AA921" i="3"/>
  <c r="Y921" i="3" s="1"/>
  <c r="T921" i="3"/>
  <c r="U921" i="3" s="1"/>
  <c r="V921" i="3" s="1"/>
  <c r="S921" i="3"/>
  <c r="S920" i="3" s="1"/>
  <c r="B921" i="3"/>
  <c r="AS920" i="3"/>
  <c r="AH920" i="3"/>
  <c r="AA920" i="3"/>
  <c r="R920" i="3"/>
  <c r="Q920" i="3"/>
  <c r="L920" i="3"/>
  <c r="K920" i="3"/>
  <c r="J920" i="3"/>
  <c r="I920" i="3"/>
  <c r="AS919" i="3"/>
  <c r="AH919" i="3"/>
  <c r="AA919" i="3"/>
  <c r="Y919" i="3" s="1"/>
  <c r="T919" i="3"/>
  <c r="S919" i="3"/>
  <c r="B919" i="3"/>
  <c r="AS918" i="3"/>
  <c r="AH918" i="3"/>
  <c r="AA918" i="3"/>
  <c r="Y918" i="3" s="1"/>
  <c r="T918" i="3"/>
  <c r="S918" i="3"/>
  <c r="B918" i="3"/>
  <c r="AS917" i="3"/>
  <c r="AH917" i="3"/>
  <c r="AA917" i="3"/>
  <c r="Y917" i="3" s="1"/>
  <c r="T917" i="3"/>
  <c r="S917" i="3"/>
  <c r="B917" i="3"/>
  <c r="AS916" i="3"/>
  <c r="AH916" i="3"/>
  <c r="AA916" i="3"/>
  <c r="Y916" i="3" s="1"/>
  <c r="V916" i="3"/>
  <c r="S916" i="3"/>
  <c r="B916" i="3"/>
  <c r="AS915" i="3"/>
  <c r="AH915" i="3"/>
  <c r="AA915" i="3"/>
  <c r="R915" i="3"/>
  <c r="Q915" i="3"/>
  <c r="L915" i="3"/>
  <c r="K915" i="3"/>
  <c r="J915" i="3"/>
  <c r="I915" i="3"/>
  <c r="AS914" i="3"/>
  <c r="AH914" i="3"/>
  <c r="AA914" i="3"/>
  <c r="Y914" i="3" s="1"/>
  <c r="T914" i="3"/>
  <c r="U914" i="3" s="1"/>
  <c r="V914" i="3" s="1"/>
  <c r="S914" i="3"/>
  <c r="S913" i="3" s="1"/>
  <c r="B914" i="3"/>
  <c r="AS913" i="3"/>
  <c r="AH913" i="3"/>
  <c r="AA913" i="3"/>
  <c r="R913" i="3"/>
  <c r="Q913" i="3"/>
  <c r="L913" i="3"/>
  <c r="K913" i="3"/>
  <c r="J913" i="3"/>
  <c r="I913" i="3"/>
  <c r="AS912" i="3"/>
  <c r="AH912" i="3"/>
  <c r="AA912" i="3"/>
  <c r="Y912" i="3" s="1"/>
  <c r="U912" i="3" s="1"/>
  <c r="T912" i="3"/>
  <c r="S912" i="3"/>
  <c r="B912" i="3"/>
  <c r="AS911" i="3"/>
  <c r="AH911" i="3"/>
  <c r="AA911" i="3"/>
  <c r="Y911" i="3" s="1"/>
  <c r="U911" i="3" s="1"/>
  <c r="T911" i="3"/>
  <c r="S911" i="3"/>
  <c r="B911" i="3"/>
  <c r="AS910" i="3"/>
  <c r="AH910" i="3"/>
  <c r="AA910" i="3"/>
  <c r="R910" i="3"/>
  <c r="Q910" i="3"/>
  <c r="L910" i="3"/>
  <c r="K910" i="3"/>
  <c r="J910" i="3"/>
  <c r="I910" i="3"/>
  <c r="AS909" i="3"/>
  <c r="AH909" i="3"/>
  <c r="AA909" i="3"/>
  <c r="Y909" i="3" s="1"/>
  <c r="U909" i="3" s="1"/>
  <c r="T909" i="3"/>
  <c r="S909" i="3"/>
  <c r="B909" i="3"/>
  <c r="AS908" i="3"/>
  <c r="AH908" i="3"/>
  <c r="AA908" i="3"/>
  <c r="Y908" i="3" s="1"/>
  <c r="U908" i="3" s="1"/>
  <c r="T908" i="3"/>
  <c r="S908" i="3"/>
  <c r="B908" i="3"/>
  <c r="AS907" i="3"/>
  <c r="AH907" i="3"/>
  <c r="AA907" i="3"/>
  <c r="Y907" i="3" s="1"/>
  <c r="U907" i="3" s="1"/>
  <c r="T907" i="3"/>
  <c r="S907" i="3"/>
  <c r="B907" i="3"/>
  <c r="AS906" i="3"/>
  <c r="AH906" i="3"/>
  <c r="AA906" i="3"/>
  <c r="Y906" i="3" s="1"/>
  <c r="U906" i="3" s="1"/>
  <c r="T906" i="3"/>
  <c r="S906" i="3"/>
  <c r="B906" i="3"/>
  <c r="AS905" i="3"/>
  <c r="AH905" i="3"/>
  <c r="AA905" i="3"/>
  <c r="Y905" i="3" s="1"/>
  <c r="U905" i="3" s="1"/>
  <c r="T905" i="3"/>
  <c r="S905" i="3"/>
  <c r="B905" i="3"/>
  <c r="AS904" i="3"/>
  <c r="AH904" i="3"/>
  <c r="AA904" i="3"/>
  <c r="R904" i="3"/>
  <c r="Q904" i="3"/>
  <c r="L904" i="3"/>
  <c r="K904" i="3"/>
  <c r="J904" i="3"/>
  <c r="I904" i="3"/>
  <c r="T904" i="3" s="1"/>
  <c r="AS903" i="3"/>
  <c r="AH903" i="3"/>
  <c r="AA903" i="3"/>
  <c r="Y903" i="3" s="1"/>
  <c r="U903" i="3" s="1"/>
  <c r="T903" i="3"/>
  <c r="S903" i="3"/>
  <c r="S902" i="3" s="1"/>
  <c r="B903" i="3"/>
  <c r="AS902" i="3"/>
  <c r="AH902" i="3"/>
  <c r="AA902" i="3"/>
  <c r="R902" i="3"/>
  <c r="Q902" i="3"/>
  <c r="L902" i="3"/>
  <c r="K902" i="3"/>
  <c r="J902" i="3"/>
  <c r="I902" i="3"/>
  <c r="T902" i="3" s="1"/>
  <c r="AS901" i="3"/>
  <c r="AH901" i="3"/>
  <c r="AA901" i="3"/>
  <c r="Y901" i="3" s="1"/>
  <c r="T901" i="3"/>
  <c r="S901" i="3"/>
  <c r="B901" i="3"/>
  <c r="AS900" i="3"/>
  <c r="AH900" i="3"/>
  <c r="AA900" i="3"/>
  <c r="Y900" i="3" s="1"/>
  <c r="U900" i="3" s="1"/>
  <c r="T900" i="3"/>
  <c r="S900" i="3"/>
  <c r="B900" i="3"/>
  <c r="AS899" i="3"/>
  <c r="AH899" i="3"/>
  <c r="AA899" i="3"/>
  <c r="R899" i="3"/>
  <c r="Q899" i="3"/>
  <c r="L899" i="3"/>
  <c r="K899" i="3"/>
  <c r="J899" i="3"/>
  <c r="I899" i="3"/>
  <c r="T899" i="3" s="1"/>
  <c r="AS898" i="3"/>
  <c r="AH898" i="3"/>
  <c r="AA898" i="3"/>
  <c r="Y898" i="3" s="1"/>
  <c r="T898" i="3"/>
  <c r="U898" i="3" s="1"/>
  <c r="V898" i="3" s="1"/>
  <c r="S898" i="3"/>
  <c r="K898" i="3"/>
  <c r="B898" i="3"/>
  <c r="AS897" i="3"/>
  <c r="AH897" i="3"/>
  <c r="AA897" i="3"/>
  <c r="Y897" i="3" s="1"/>
  <c r="T897" i="3"/>
  <c r="U897" i="3" s="1"/>
  <c r="S897" i="3"/>
  <c r="B897" i="3"/>
  <c r="AS896" i="3"/>
  <c r="AH896" i="3"/>
  <c r="AA896" i="3"/>
  <c r="Y896" i="3" s="1"/>
  <c r="T896" i="3"/>
  <c r="V896" i="3" s="1"/>
  <c r="S896" i="3"/>
  <c r="B896" i="3"/>
  <c r="AS895" i="3"/>
  <c r="AH895" i="3"/>
  <c r="AA895" i="3"/>
  <c r="R895" i="3"/>
  <c r="Q895" i="3"/>
  <c r="L895" i="3"/>
  <c r="K895" i="3"/>
  <c r="J895" i="3"/>
  <c r="I895" i="3"/>
  <c r="T895" i="3" s="1"/>
  <c r="AS894" i="3"/>
  <c r="AH894" i="3"/>
  <c r="AA894" i="3"/>
  <c r="Y894" i="3" s="1"/>
  <c r="T894" i="3"/>
  <c r="U894" i="3" s="1"/>
  <c r="V894" i="3" s="1"/>
  <c r="S894" i="3"/>
  <c r="S893" i="3" s="1"/>
  <c r="B894" i="3"/>
  <c r="AS893" i="3"/>
  <c r="AH893" i="3"/>
  <c r="AA893" i="3"/>
  <c r="R893" i="3"/>
  <c r="Q893" i="3"/>
  <c r="L893" i="3"/>
  <c r="K893" i="3"/>
  <c r="J893" i="3"/>
  <c r="I893" i="3"/>
  <c r="T893" i="3" s="1"/>
  <c r="U893" i="3" s="1"/>
  <c r="V893" i="3" s="1"/>
  <c r="AS892" i="3"/>
  <c r="AH892" i="3"/>
  <c r="AA892" i="3"/>
  <c r="Y892" i="3" s="1"/>
  <c r="T892" i="3"/>
  <c r="U892" i="3" s="1"/>
  <c r="V892" i="3" s="1"/>
  <c r="S892" i="3"/>
  <c r="S891" i="3" s="1"/>
  <c r="B892" i="3"/>
  <c r="AS891" i="3"/>
  <c r="AH891" i="3"/>
  <c r="AA891" i="3"/>
  <c r="R891" i="3"/>
  <c r="Q891" i="3"/>
  <c r="L891" i="3"/>
  <c r="K891" i="3"/>
  <c r="J891" i="3"/>
  <c r="I891" i="3"/>
  <c r="T891" i="3" s="1"/>
  <c r="U891" i="3" s="1"/>
  <c r="V891" i="3" s="1"/>
  <c r="AS890" i="3"/>
  <c r="AH890" i="3"/>
  <c r="AA890" i="3"/>
  <c r="Y890" i="3" s="1"/>
  <c r="U890" i="3" s="1"/>
  <c r="T890" i="3"/>
  <c r="S890" i="3"/>
  <c r="S889" i="3" s="1"/>
  <c r="B890" i="3"/>
  <c r="AS889" i="3"/>
  <c r="AH889" i="3"/>
  <c r="AA889" i="3"/>
  <c r="R889" i="3"/>
  <c r="Q889" i="3"/>
  <c r="L889" i="3"/>
  <c r="K889" i="3"/>
  <c r="J889" i="3"/>
  <c r="I889" i="3"/>
  <c r="T889" i="3" s="1"/>
  <c r="AS888" i="3"/>
  <c r="AH888" i="3"/>
  <c r="AA888" i="3"/>
  <c r="Y888" i="3" s="1"/>
  <c r="U888" i="3" s="1"/>
  <c r="T888" i="3"/>
  <c r="S888" i="3"/>
  <c r="S887" i="3" s="1"/>
  <c r="B888" i="3"/>
  <c r="AS887" i="3"/>
  <c r="AH887" i="3"/>
  <c r="AA887" i="3"/>
  <c r="R887" i="3"/>
  <c r="Q887" i="3"/>
  <c r="L887" i="3"/>
  <c r="K887" i="3"/>
  <c r="J887" i="3"/>
  <c r="I887" i="3"/>
  <c r="AS886" i="3"/>
  <c r="AH886" i="3"/>
  <c r="AA886" i="3"/>
  <c r="Y886" i="3" s="1"/>
  <c r="U886" i="3" s="1"/>
  <c r="T886" i="3"/>
  <c r="S886" i="3"/>
  <c r="S885" i="3" s="1"/>
  <c r="B886" i="3"/>
  <c r="AS885" i="3"/>
  <c r="AH885" i="3"/>
  <c r="AA885" i="3"/>
  <c r="R885" i="3"/>
  <c r="Q885" i="3"/>
  <c r="L885" i="3"/>
  <c r="K885" i="3"/>
  <c r="J885" i="3"/>
  <c r="I885" i="3"/>
  <c r="T885" i="3" s="1"/>
  <c r="AS884" i="3"/>
  <c r="AH884" i="3"/>
  <c r="AA884" i="3"/>
  <c r="Y884" i="3" s="1"/>
  <c r="U884" i="3" s="1"/>
  <c r="T884" i="3"/>
  <c r="S884" i="3"/>
  <c r="S883" i="3" s="1"/>
  <c r="B884" i="3"/>
  <c r="AS883" i="3"/>
  <c r="AH883" i="3"/>
  <c r="AA883" i="3"/>
  <c r="R883" i="3"/>
  <c r="Q883" i="3"/>
  <c r="L883" i="3"/>
  <c r="K883" i="3"/>
  <c r="J883" i="3"/>
  <c r="I883" i="3"/>
  <c r="T883" i="3" s="1"/>
  <c r="AS882" i="3"/>
  <c r="AH882" i="3"/>
  <c r="AA882" i="3"/>
  <c r="Y882" i="3" s="1"/>
  <c r="U882" i="3" s="1"/>
  <c r="T882" i="3"/>
  <c r="S882" i="3"/>
  <c r="S881" i="3" s="1"/>
  <c r="B882" i="3"/>
  <c r="AS881" i="3"/>
  <c r="AH881" i="3"/>
  <c r="AA881" i="3"/>
  <c r="R881" i="3"/>
  <c r="Q881" i="3"/>
  <c r="L881" i="3"/>
  <c r="K881" i="3"/>
  <c r="J881" i="3"/>
  <c r="I881" i="3"/>
  <c r="T881" i="3" s="1"/>
  <c r="AS880" i="3"/>
  <c r="AH880" i="3"/>
  <c r="AA880" i="3"/>
  <c r="Y880" i="3" s="1"/>
  <c r="T880" i="3"/>
  <c r="U880" i="3" s="1"/>
  <c r="V880" i="3" s="1"/>
  <c r="S880" i="3"/>
  <c r="S879" i="3" s="1"/>
  <c r="B880" i="3"/>
  <c r="AS879" i="3"/>
  <c r="AH879" i="3"/>
  <c r="AA879" i="3"/>
  <c r="R879" i="3"/>
  <c r="Q879" i="3"/>
  <c r="L879" i="3"/>
  <c r="K879" i="3"/>
  <c r="J879" i="3"/>
  <c r="I879" i="3"/>
  <c r="T879" i="3" s="1"/>
  <c r="U879" i="3" s="1"/>
  <c r="V879" i="3" s="1"/>
  <c r="AS878" i="3"/>
  <c r="AH878" i="3"/>
  <c r="AA878" i="3"/>
  <c r="Y878" i="3" s="1"/>
  <c r="T878" i="3"/>
  <c r="U878" i="3" s="1"/>
  <c r="V878" i="3" s="1"/>
  <c r="S878" i="3"/>
  <c r="B878" i="3"/>
  <c r="AS877" i="3"/>
  <c r="AH877" i="3"/>
  <c r="AA877" i="3"/>
  <c r="Y877" i="3" s="1"/>
  <c r="T877" i="3"/>
  <c r="U877" i="3" s="1"/>
  <c r="V877" i="3" s="1"/>
  <c r="S877" i="3"/>
  <c r="B877" i="3"/>
  <c r="AS876" i="3"/>
  <c r="AH876" i="3"/>
  <c r="AA876" i="3"/>
  <c r="R876" i="3"/>
  <c r="Q876" i="3"/>
  <c r="L876" i="3"/>
  <c r="K876" i="3"/>
  <c r="J876" i="3"/>
  <c r="I876" i="3"/>
  <c r="T876" i="3" s="1"/>
  <c r="U876" i="3" s="1"/>
  <c r="V876" i="3" s="1"/>
  <c r="AS875" i="3"/>
  <c r="AH875" i="3"/>
  <c r="AA875" i="3"/>
  <c r="Y875" i="3" s="1"/>
  <c r="T875" i="3"/>
  <c r="U875" i="3" s="1"/>
  <c r="V875" i="3" s="1"/>
  <c r="S875" i="3"/>
  <c r="B875" i="3"/>
  <c r="AS874" i="3"/>
  <c r="AH874" i="3"/>
  <c r="AA874" i="3"/>
  <c r="Y874" i="3" s="1"/>
  <c r="T874" i="3"/>
  <c r="U874" i="3" s="1"/>
  <c r="V874" i="3" s="1"/>
  <c r="S874" i="3"/>
  <c r="B874" i="3"/>
  <c r="AS873" i="3"/>
  <c r="AH873" i="3"/>
  <c r="AA873" i="3"/>
  <c r="Y873" i="3" s="1"/>
  <c r="T873" i="3"/>
  <c r="U873" i="3" s="1"/>
  <c r="S873" i="3"/>
  <c r="B873" i="3"/>
  <c r="AS872" i="3"/>
  <c r="AH872" i="3"/>
  <c r="AA872" i="3"/>
  <c r="Y872" i="3" s="1"/>
  <c r="T872" i="3"/>
  <c r="U872" i="3" s="1"/>
  <c r="V872" i="3" s="1"/>
  <c r="S872" i="3"/>
  <c r="B872" i="3"/>
  <c r="AS871" i="3"/>
  <c r="AH871" i="3"/>
  <c r="AA871" i="3"/>
  <c r="Y871" i="3" s="1"/>
  <c r="T871" i="3"/>
  <c r="V871" i="3" s="1"/>
  <c r="S871" i="3"/>
  <c r="B871" i="3"/>
  <c r="AS870" i="3"/>
  <c r="AH870" i="3"/>
  <c r="AA870" i="3"/>
  <c r="R870" i="3"/>
  <c r="Q870" i="3"/>
  <c r="L870" i="3"/>
  <c r="K870" i="3"/>
  <c r="J870" i="3"/>
  <c r="I870" i="3"/>
  <c r="T870" i="3" s="1"/>
  <c r="AS869" i="3"/>
  <c r="AH869" i="3"/>
  <c r="AA869" i="3"/>
  <c r="Y869" i="3" s="1"/>
  <c r="U869" i="3" s="1"/>
  <c r="T869" i="3"/>
  <c r="S869" i="3"/>
  <c r="S868" i="3" s="1"/>
  <c r="B869" i="3"/>
  <c r="AS868" i="3"/>
  <c r="AH868" i="3"/>
  <c r="AA868" i="3"/>
  <c r="R868" i="3"/>
  <c r="Q868" i="3"/>
  <c r="L868" i="3"/>
  <c r="K868" i="3"/>
  <c r="J868" i="3"/>
  <c r="I868" i="3"/>
  <c r="T868" i="3" s="1"/>
  <c r="AS867" i="3"/>
  <c r="AH867" i="3"/>
  <c r="AA867" i="3"/>
  <c r="Y867" i="3" s="1"/>
  <c r="U867" i="3" s="1"/>
  <c r="T867" i="3"/>
  <c r="S867" i="3"/>
  <c r="S866" i="3" s="1"/>
  <c r="B867" i="3"/>
  <c r="AS866" i="3"/>
  <c r="AH866" i="3"/>
  <c r="AA866" i="3"/>
  <c r="R866" i="3"/>
  <c r="Q866" i="3"/>
  <c r="L866" i="3"/>
  <c r="K866" i="3"/>
  <c r="J866" i="3"/>
  <c r="I866" i="3"/>
  <c r="T866" i="3" s="1"/>
  <c r="AS865" i="3"/>
  <c r="AH865" i="3"/>
  <c r="AG865" i="3" s="1"/>
  <c r="U865" i="3" s="1"/>
  <c r="AA865" i="3"/>
  <c r="Y865" i="3" s="1"/>
  <c r="T865" i="3"/>
  <c r="S865" i="3"/>
  <c r="B865" i="3"/>
  <c r="AS864" i="3"/>
  <c r="AH864" i="3"/>
  <c r="AG864" i="3" s="1"/>
  <c r="U864" i="3" s="1"/>
  <c r="AA864" i="3"/>
  <c r="Y864" i="3" s="1"/>
  <c r="T864" i="3"/>
  <c r="S864" i="3"/>
  <c r="B864" i="3"/>
  <c r="AS863" i="3"/>
  <c r="AH863" i="3"/>
  <c r="AA863" i="3"/>
  <c r="R863" i="3"/>
  <c r="Q863" i="3"/>
  <c r="L863" i="3"/>
  <c r="K863" i="3"/>
  <c r="J863" i="3"/>
  <c r="I863" i="3"/>
  <c r="T863" i="3" s="1"/>
  <c r="AS862" i="3"/>
  <c r="AH862" i="3"/>
  <c r="AA862" i="3"/>
  <c r="Y862" i="3" s="1"/>
  <c r="U862" i="3" s="1"/>
  <c r="T862" i="3"/>
  <c r="S862" i="3"/>
  <c r="S861" i="3" s="1"/>
  <c r="B862" i="3"/>
  <c r="AS861" i="3"/>
  <c r="AH861" i="3"/>
  <c r="AA861" i="3"/>
  <c r="R861" i="3"/>
  <c r="Q861" i="3"/>
  <c r="L861" i="3"/>
  <c r="K861" i="3"/>
  <c r="J861" i="3"/>
  <c r="I861" i="3"/>
  <c r="T861" i="3" s="1"/>
  <c r="AS860" i="3"/>
  <c r="AH860" i="3"/>
  <c r="AA860" i="3"/>
  <c r="Y860" i="3" s="1"/>
  <c r="U860" i="3" s="1"/>
  <c r="T860" i="3"/>
  <c r="S860" i="3"/>
  <c r="B860" i="3"/>
  <c r="AS859" i="3"/>
  <c r="AH859" i="3"/>
  <c r="AA859" i="3"/>
  <c r="Y859" i="3" s="1"/>
  <c r="U859" i="3" s="1"/>
  <c r="T859" i="3"/>
  <c r="S859" i="3"/>
  <c r="B859" i="3"/>
  <c r="AS858" i="3"/>
  <c r="AH858" i="3"/>
  <c r="AA858" i="3"/>
  <c r="Y858" i="3" s="1"/>
  <c r="U858" i="3" s="1"/>
  <c r="T858" i="3"/>
  <c r="S858" i="3"/>
  <c r="B858" i="3"/>
  <c r="AS857" i="3"/>
  <c r="AH857" i="3"/>
  <c r="AA857" i="3"/>
  <c r="Y857" i="3" s="1"/>
  <c r="U857" i="3" s="1"/>
  <c r="T857" i="3"/>
  <c r="S857" i="3"/>
  <c r="B857" i="3"/>
  <c r="AS856" i="3"/>
  <c r="AH856" i="3"/>
  <c r="AA856" i="3"/>
  <c r="Y856" i="3" s="1"/>
  <c r="U856" i="3" s="1"/>
  <c r="T856" i="3"/>
  <c r="S856" i="3"/>
  <c r="B856" i="3"/>
  <c r="AS855" i="3"/>
  <c r="AH855" i="3"/>
  <c r="AA855" i="3"/>
  <c r="Y855" i="3" s="1"/>
  <c r="U855" i="3" s="1"/>
  <c r="T855" i="3"/>
  <c r="S855" i="3"/>
  <c r="B855" i="3"/>
  <c r="AS854" i="3"/>
  <c r="AH854" i="3"/>
  <c r="AA854" i="3"/>
  <c r="Y854" i="3" s="1"/>
  <c r="T854" i="3"/>
  <c r="S854" i="3"/>
  <c r="B854" i="3"/>
  <c r="AS853" i="3"/>
  <c r="AH853" i="3"/>
  <c r="AA853" i="3"/>
  <c r="Y853" i="3" s="1"/>
  <c r="U853" i="3" s="1"/>
  <c r="T853" i="3"/>
  <c r="S853" i="3"/>
  <c r="B853" i="3"/>
  <c r="AS852" i="3"/>
  <c r="AH852" i="3"/>
  <c r="AA852" i="3"/>
  <c r="R852" i="3"/>
  <c r="Q852" i="3"/>
  <c r="L852" i="3"/>
  <c r="K852" i="3"/>
  <c r="J852" i="3"/>
  <c r="I852" i="3"/>
  <c r="T852" i="3" s="1"/>
  <c r="AS851" i="3"/>
  <c r="AH851" i="3"/>
  <c r="AA851" i="3"/>
  <c r="Y851" i="3" s="1"/>
  <c r="U851" i="3" s="1"/>
  <c r="T851" i="3"/>
  <c r="S851" i="3"/>
  <c r="S850" i="3" s="1"/>
  <c r="B851" i="3"/>
  <c r="AS850" i="3"/>
  <c r="AH850" i="3"/>
  <c r="AA850" i="3"/>
  <c r="R850" i="3"/>
  <c r="Q850" i="3"/>
  <c r="L850" i="3"/>
  <c r="K850" i="3"/>
  <c r="J850" i="3"/>
  <c r="I850" i="3"/>
  <c r="T850" i="3" s="1"/>
  <c r="AS849" i="3"/>
  <c r="AH849" i="3"/>
  <c r="AA849" i="3"/>
  <c r="Y849" i="3" s="1"/>
  <c r="U849" i="3" s="1"/>
  <c r="T849" i="3"/>
  <c r="S849" i="3"/>
  <c r="S848" i="3" s="1"/>
  <c r="B849" i="3"/>
  <c r="AS848" i="3"/>
  <c r="AH848" i="3"/>
  <c r="AA848" i="3"/>
  <c r="R848" i="3"/>
  <c r="Q848" i="3"/>
  <c r="L848" i="3"/>
  <c r="K848" i="3"/>
  <c r="J848" i="3"/>
  <c r="I848" i="3"/>
  <c r="T848" i="3" s="1"/>
  <c r="AS847" i="3"/>
  <c r="AH847" i="3"/>
  <c r="AA847" i="3"/>
  <c r="Y847" i="3" s="1"/>
  <c r="U847" i="3" s="1"/>
  <c r="T847" i="3"/>
  <c r="S847" i="3"/>
  <c r="S846" i="3" s="1"/>
  <c r="B847" i="3"/>
  <c r="AS846" i="3"/>
  <c r="AH846" i="3"/>
  <c r="AA846" i="3"/>
  <c r="R846" i="3"/>
  <c r="Q846" i="3"/>
  <c r="L846" i="3"/>
  <c r="K846" i="3"/>
  <c r="J846" i="3"/>
  <c r="I846" i="3"/>
  <c r="T846" i="3" s="1"/>
  <c r="AS845" i="3"/>
  <c r="AH845" i="3"/>
  <c r="AA845" i="3"/>
  <c r="Y845" i="3" s="1"/>
  <c r="U845" i="3" s="1"/>
  <c r="T845" i="3"/>
  <c r="S845" i="3"/>
  <c r="S844" i="3" s="1"/>
  <c r="B845" i="3"/>
  <c r="AS844" i="3"/>
  <c r="AH844" i="3"/>
  <c r="AA844" i="3"/>
  <c r="R844" i="3"/>
  <c r="Q844" i="3"/>
  <c r="L844" i="3"/>
  <c r="K844" i="3"/>
  <c r="J844" i="3"/>
  <c r="I844" i="3"/>
  <c r="T844" i="3" s="1"/>
  <c r="AS843" i="3"/>
  <c r="AH843" i="3"/>
  <c r="AA843" i="3"/>
  <c r="Y843" i="3" s="1"/>
  <c r="U843" i="3" s="1"/>
  <c r="T843" i="3"/>
  <c r="S843" i="3"/>
  <c r="S842" i="3" s="1"/>
  <c r="B843" i="3"/>
  <c r="AS842" i="3"/>
  <c r="AH842" i="3"/>
  <c r="AA842" i="3"/>
  <c r="R842" i="3"/>
  <c r="Q842" i="3"/>
  <c r="L842" i="3"/>
  <c r="K842" i="3"/>
  <c r="J842" i="3"/>
  <c r="I842" i="3"/>
  <c r="T842" i="3" s="1"/>
  <c r="AS841" i="3"/>
  <c r="AH841" i="3"/>
  <c r="AA841" i="3"/>
  <c r="Y841" i="3" s="1"/>
  <c r="U841" i="3" s="1"/>
  <c r="T841" i="3"/>
  <c r="S841" i="3"/>
  <c r="S840" i="3" s="1"/>
  <c r="B841" i="3"/>
  <c r="AS840" i="3"/>
  <c r="AH840" i="3"/>
  <c r="AA840" i="3"/>
  <c r="R840" i="3"/>
  <c r="Q840" i="3"/>
  <c r="L840" i="3"/>
  <c r="K840" i="3"/>
  <c r="J840" i="3"/>
  <c r="I840" i="3"/>
  <c r="T840" i="3" s="1"/>
  <c r="AS839" i="3"/>
  <c r="AH839" i="3"/>
  <c r="AG839" i="3" s="1"/>
  <c r="U839" i="3" s="1"/>
  <c r="AA839" i="3"/>
  <c r="Y839" i="3" s="1"/>
  <c r="T839" i="3"/>
  <c r="S839" i="3"/>
  <c r="S838" i="3" s="1"/>
  <c r="B839" i="3"/>
  <c r="AS838" i="3"/>
  <c r="AH838" i="3"/>
  <c r="AA838" i="3"/>
  <c r="R838" i="3"/>
  <c r="Q838" i="3"/>
  <c r="L838" i="3"/>
  <c r="K838" i="3"/>
  <c r="J838" i="3"/>
  <c r="I838" i="3"/>
  <c r="T838" i="3" s="1"/>
  <c r="AS837" i="3"/>
  <c r="AH837" i="3"/>
  <c r="AG837" i="3" s="1"/>
  <c r="U837" i="3" s="1"/>
  <c r="AA837" i="3"/>
  <c r="Y837" i="3" s="1"/>
  <c r="T837" i="3"/>
  <c r="S837" i="3"/>
  <c r="B837" i="3"/>
  <c r="AS836" i="3"/>
  <c r="AH836" i="3"/>
  <c r="AA836" i="3"/>
  <c r="Y836" i="3" s="1"/>
  <c r="T836" i="3"/>
  <c r="V836" i="3" s="1"/>
  <c r="S836" i="3"/>
  <c r="K836" i="3"/>
  <c r="B836" i="3"/>
  <c r="AS835" i="3"/>
  <c r="AH835" i="3"/>
  <c r="AA835" i="3"/>
  <c r="Y835" i="3" s="1"/>
  <c r="U835" i="3" s="1"/>
  <c r="T835" i="3"/>
  <c r="S835" i="3"/>
  <c r="K835" i="3"/>
  <c r="B835" i="3"/>
  <c r="AS834" i="3"/>
  <c r="AH834" i="3"/>
  <c r="AA834" i="3"/>
  <c r="Y834" i="3" s="1"/>
  <c r="T834" i="3"/>
  <c r="V834" i="3" s="1"/>
  <c r="S834" i="3"/>
  <c r="B834" i="3"/>
  <c r="AS833" i="3"/>
  <c r="AH833" i="3"/>
  <c r="AA833" i="3"/>
  <c r="Y833" i="3" s="1"/>
  <c r="U833" i="3" s="1"/>
  <c r="T833" i="3"/>
  <c r="S833" i="3"/>
  <c r="B833" i="3"/>
  <c r="AS832" i="3"/>
  <c r="AH832" i="3"/>
  <c r="AA832" i="3"/>
  <c r="R832" i="3"/>
  <c r="Q832" i="3"/>
  <c r="L832" i="3"/>
  <c r="J832" i="3"/>
  <c r="I832" i="3"/>
  <c r="T832" i="3" s="1"/>
  <c r="AS831" i="3"/>
  <c r="AH831" i="3"/>
  <c r="AA831" i="3"/>
  <c r="Y831" i="3" s="1"/>
  <c r="T831" i="3"/>
  <c r="U831" i="3" s="1"/>
  <c r="V831" i="3" s="1"/>
  <c r="S831" i="3"/>
  <c r="B831" i="3"/>
  <c r="AS830" i="3"/>
  <c r="AH830" i="3"/>
  <c r="AA830" i="3"/>
  <c r="Y830" i="3" s="1"/>
  <c r="U830" i="3" s="1"/>
  <c r="T830" i="3"/>
  <c r="S830" i="3"/>
  <c r="B830" i="3"/>
  <c r="AS829" i="3"/>
  <c r="AH829" i="3"/>
  <c r="AA829" i="3"/>
  <c r="Y829" i="3" s="1"/>
  <c r="U829" i="3" s="1"/>
  <c r="T829" i="3"/>
  <c r="S829" i="3"/>
  <c r="B829" i="3"/>
  <c r="AS828" i="3"/>
  <c r="AH828" i="3"/>
  <c r="AA828" i="3"/>
  <c r="Y828" i="3" s="1"/>
  <c r="U828" i="3" s="1"/>
  <c r="T828" i="3"/>
  <c r="S828" i="3"/>
  <c r="B828" i="3"/>
  <c r="AS827" i="3"/>
  <c r="AH827" i="3"/>
  <c r="AA827" i="3"/>
  <c r="Y827" i="3" s="1"/>
  <c r="U827" i="3" s="1"/>
  <c r="T827" i="3"/>
  <c r="S827" i="3"/>
  <c r="B827" i="3"/>
  <c r="AS826" i="3"/>
  <c r="AH826" i="3"/>
  <c r="AG826" i="3" s="1"/>
  <c r="AA826" i="3"/>
  <c r="Y826" i="3" s="1"/>
  <c r="T826" i="3"/>
  <c r="S826" i="3"/>
  <c r="B826" i="3"/>
  <c r="AS825" i="3"/>
  <c r="AH825" i="3"/>
  <c r="AA825" i="3"/>
  <c r="R825" i="3"/>
  <c r="Q825" i="3"/>
  <c r="L825" i="3"/>
  <c r="K825" i="3"/>
  <c r="J825" i="3"/>
  <c r="I825" i="3"/>
  <c r="T825" i="3" s="1"/>
  <c r="AS824" i="3"/>
  <c r="AH824" i="3"/>
  <c r="AA824" i="3"/>
  <c r="Y824" i="3" s="1"/>
  <c r="U824" i="3" s="1"/>
  <c r="T824" i="3"/>
  <c r="S824" i="3"/>
  <c r="S823" i="3" s="1"/>
  <c r="B824" i="3"/>
  <c r="AS823" i="3"/>
  <c r="AH823" i="3"/>
  <c r="AA823" i="3"/>
  <c r="R823" i="3"/>
  <c r="Q823" i="3"/>
  <c r="L823" i="3"/>
  <c r="K823" i="3"/>
  <c r="J823" i="3"/>
  <c r="I823" i="3"/>
  <c r="T823" i="3" s="1"/>
  <c r="AS822" i="3"/>
  <c r="AH822" i="3"/>
  <c r="AA822" i="3"/>
  <c r="Y822" i="3" s="1"/>
  <c r="T822" i="3"/>
  <c r="U822" i="3" s="1"/>
  <c r="V822" i="3" s="1"/>
  <c r="S822" i="3"/>
  <c r="S821" i="3" s="1"/>
  <c r="B822" i="3"/>
  <c r="AS821" i="3"/>
  <c r="AH821" i="3"/>
  <c r="AA821" i="3"/>
  <c r="R821" i="3"/>
  <c r="Q821" i="3"/>
  <c r="L821" i="3"/>
  <c r="K821" i="3"/>
  <c r="J821" i="3"/>
  <c r="I821" i="3"/>
  <c r="AS820" i="3"/>
  <c r="AH820" i="3"/>
  <c r="AA820" i="3"/>
  <c r="Y820" i="3" s="1"/>
  <c r="T820" i="3"/>
  <c r="V820" i="3" s="1"/>
  <c r="S820" i="3"/>
  <c r="B820" i="3"/>
  <c r="AS819" i="3"/>
  <c r="AH819" i="3"/>
  <c r="AA819" i="3"/>
  <c r="Y819" i="3" s="1"/>
  <c r="U819" i="3" s="1"/>
  <c r="T819" i="3"/>
  <c r="S819" i="3"/>
  <c r="B819" i="3"/>
  <c r="AS818" i="3"/>
  <c r="AH818" i="3"/>
  <c r="AA818" i="3"/>
  <c r="R818" i="3"/>
  <c r="Q818" i="3"/>
  <c r="L818" i="3"/>
  <c r="K818" i="3"/>
  <c r="J818" i="3"/>
  <c r="I818" i="3"/>
  <c r="T818" i="3" s="1"/>
  <c r="AS817" i="3"/>
  <c r="AH817" i="3"/>
  <c r="AA817" i="3"/>
  <c r="Y817" i="3" s="1"/>
  <c r="U817" i="3" s="1"/>
  <c r="T817" i="3"/>
  <c r="S817" i="3"/>
  <c r="S816" i="3" s="1"/>
  <c r="B817" i="3"/>
  <c r="AS816" i="3"/>
  <c r="AH816" i="3"/>
  <c r="AA816" i="3"/>
  <c r="R816" i="3"/>
  <c r="Q816" i="3"/>
  <c r="L816" i="3"/>
  <c r="K816" i="3"/>
  <c r="J816" i="3"/>
  <c r="I816" i="3"/>
  <c r="T816" i="3" s="1"/>
  <c r="AS815" i="3"/>
  <c r="AH815" i="3"/>
  <c r="AA815" i="3"/>
  <c r="Y815" i="3" s="1"/>
  <c r="U815" i="3" s="1"/>
  <c r="T815" i="3"/>
  <c r="S815" i="3"/>
  <c r="B815" i="3"/>
  <c r="AS814" i="3"/>
  <c r="AH814" i="3"/>
  <c r="AA814" i="3"/>
  <c r="Y814" i="3" s="1"/>
  <c r="U814" i="3" s="1"/>
  <c r="T814" i="3"/>
  <c r="S814" i="3"/>
  <c r="B814" i="3"/>
  <c r="AS813" i="3"/>
  <c r="AH813" i="3"/>
  <c r="AA813" i="3"/>
  <c r="R813" i="3"/>
  <c r="Q813" i="3"/>
  <c r="L813" i="3"/>
  <c r="K813" i="3"/>
  <c r="J813" i="3"/>
  <c r="I813" i="3"/>
  <c r="T813" i="3" s="1"/>
  <c r="AS812" i="3"/>
  <c r="AH812" i="3"/>
  <c r="AA812" i="3"/>
  <c r="Y812" i="3" s="1"/>
  <c r="U812" i="3" s="1"/>
  <c r="T812" i="3"/>
  <c r="S812" i="3"/>
  <c r="B812" i="3"/>
  <c r="AS811" i="3"/>
  <c r="AH811" i="3"/>
  <c r="AA811" i="3"/>
  <c r="Y811" i="3" s="1"/>
  <c r="U811" i="3" s="1"/>
  <c r="T811" i="3"/>
  <c r="S811" i="3"/>
  <c r="B811" i="3"/>
  <c r="AS810" i="3"/>
  <c r="AH810" i="3"/>
  <c r="AG810" i="3" s="1"/>
  <c r="AA810" i="3"/>
  <c r="Y810" i="3" s="1"/>
  <c r="T810" i="3"/>
  <c r="S810" i="3"/>
  <c r="B810" i="3"/>
  <c r="AS809" i="3"/>
  <c r="AH809" i="3"/>
  <c r="AA809" i="3"/>
  <c r="Y809" i="3" s="1"/>
  <c r="U809" i="3" s="1"/>
  <c r="T809" i="3"/>
  <c r="S809" i="3"/>
  <c r="B809" i="3"/>
  <c r="AS808" i="3"/>
  <c r="AH808" i="3"/>
  <c r="AA808" i="3"/>
  <c r="R808" i="3"/>
  <c r="Q808" i="3"/>
  <c r="L808" i="3"/>
  <c r="K808" i="3"/>
  <c r="J808" i="3"/>
  <c r="I808" i="3"/>
  <c r="T808" i="3" s="1"/>
  <c r="AS807" i="3"/>
  <c r="AH807" i="3"/>
  <c r="AA807" i="3"/>
  <c r="Y807" i="3" s="1"/>
  <c r="U807" i="3" s="1"/>
  <c r="T807" i="3"/>
  <c r="S807" i="3"/>
  <c r="B807" i="3"/>
  <c r="AS806" i="3"/>
  <c r="AH806" i="3"/>
  <c r="AA806" i="3"/>
  <c r="Y806" i="3" s="1"/>
  <c r="T806" i="3"/>
  <c r="S806" i="3"/>
  <c r="B806" i="3"/>
  <c r="AS805" i="3"/>
  <c r="AH805" i="3"/>
  <c r="AA805" i="3"/>
  <c r="R805" i="3"/>
  <c r="Q805" i="3"/>
  <c r="L805" i="3"/>
  <c r="K805" i="3"/>
  <c r="J805" i="3"/>
  <c r="I805" i="3"/>
  <c r="T805" i="3" s="1"/>
  <c r="AS804" i="3"/>
  <c r="AH804" i="3"/>
  <c r="AA804" i="3"/>
  <c r="Y804" i="3" s="1"/>
  <c r="T804" i="3"/>
  <c r="S804" i="3"/>
  <c r="B804" i="3"/>
  <c r="AS803" i="3"/>
  <c r="AH803" i="3"/>
  <c r="AA803" i="3"/>
  <c r="Y803" i="3" s="1"/>
  <c r="U803" i="3" s="1"/>
  <c r="T803" i="3"/>
  <c r="S803" i="3"/>
  <c r="K803" i="3"/>
  <c r="B803" i="3"/>
  <c r="AS802" i="3"/>
  <c r="AH802" i="3"/>
  <c r="AA802" i="3"/>
  <c r="Y802" i="3" s="1"/>
  <c r="U802" i="3" s="1"/>
  <c r="T802" i="3"/>
  <c r="S802" i="3"/>
  <c r="K802" i="3"/>
  <c r="B802" i="3"/>
  <c r="AS801" i="3"/>
  <c r="AH801" i="3"/>
  <c r="AA801" i="3"/>
  <c r="Y801" i="3" s="1"/>
  <c r="U801" i="3" s="1"/>
  <c r="T801" i="3"/>
  <c r="S801" i="3"/>
  <c r="K801" i="3"/>
  <c r="B801" i="3"/>
  <c r="AS800" i="3"/>
  <c r="AH800" i="3"/>
  <c r="AA800" i="3"/>
  <c r="Y800" i="3" s="1"/>
  <c r="U800" i="3" s="1"/>
  <c r="T800" i="3"/>
  <c r="S800" i="3"/>
  <c r="K800" i="3"/>
  <c r="B800" i="3"/>
  <c r="AS799" i="3"/>
  <c r="AH799" i="3"/>
  <c r="AA799" i="3"/>
  <c r="Y799" i="3" s="1"/>
  <c r="U799" i="3" s="1"/>
  <c r="T799" i="3"/>
  <c r="S799" i="3"/>
  <c r="K799" i="3"/>
  <c r="B799" i="3"/>
  <c r="AS798" i="3"/>
  <c r="AH798" i="3"/>
  <c r="AA798" i="3"/>
  <c r="Y798" i="3" s="1"/>
  <c r="U798" i="3" s="1"/>
  <c r="T798" i="3"/>
  <c r="S798" i="3"/>
  <c r="B798" i="3"/>
  <c r="AS797" i="3"/>
  <c r="AH797" i="3"/>
  <c r="AA797" i="3"/>
  <c r="Y797" i="3" s="1"/>
  <c r="U797" i="3" s="1"/>
  <c r="T797" i="3"/>
  <c r="S797" i="3"/>
  <c r="B797" i="3"/>
  <c r="AS796" i="3"/>
  <c r="AR796" i="3" s="1"/>
  <c r="AH796" i="3"/>
  <c r="AA796" i="3"/>
  <c r="Y796" i="3" s="1"/>
  <c r="T796" i="3"/>
  <c r="U796" i="3" s="1"/>
  <c r="V796" i="3" s="1"/>
  <c r="S796" i="3"/>
  <c r="B796" i="3"/>
  <c r="AS795" i="3"/>
  <c r="AH795" i="3"/>
  <c r="AA795" i="3"/>
  <c r="Y795" i="3" s="1"/>
  <c r="U795" i="3" s="1"/>
  <c r="T795" i="3"/>
  <c r="S795" i="3"/>
  <c r="B795" i="3"/>
  <c r="AS794" i="3"/>
  <c r="AH794" i="3"/>
  <c r="AA794" i="3"/>
  <c r="Y794" i="3" s="1"/>
  <c r="U794" i="3" s="1"/>
  <c r="T794" i="3"/>
  <c r="S794" i="3"/>
  <c r="B794" i="3"/>
  <c r="AS793" i="3"/>
  <c r="AH793" i="3"/>
  <c r="AA793" i="3"/>
  <c r="Y793" i="3" s="1"/>
  <c r="U793" i="3" s="1"/>
  <c r="T793" i="3"/>
  <c r="S793" i="3"/>
  <c r="B793" i="3"/>
  <c r="AS792" i="3"/>
  <c r="AH792" i="3"/>
  <c r="AA792" i="3"/>
  <c r="Y792" i="3" s="1"/>
  <c r="U792" i="3" s="1"/>
  <c r="T792" i="3"/>
  <c r="S792" i="3"/>
  <c r="B792" i="3"/>
  <c r="AS791" i="3"/>
  <c r="AH791" i="3"/>
  <c r="AA791" i="3"/>
  <c r="Y791" i="3" s="1"/>
  <c r="U791" i="3" s="1"/>
  <c r="T791" i="3"/>
  <c r="S791" i="3"/>
  <c r="B791" i="3"/>
  <c r="AS790" i="3"/>
  <c r="AH790" i="3"/>
  <c r="AA790" i="3"/>
  <c r="Y790" i="3" s="1"/>
  <c r="U790" i="3" s="1"/>
  <c r="T790" i="3"/>
  <c r="S790" i="3"/>
  <c r="B790" i="3"/>
  <c r="AS789" i="3"/>
  <c r="AH789" i="3"/>
  <c r="AA789" i="3"/>
  <c r="Y789" i="3" s="1"/>
  <c r="U789" i="3" s="1"/>
  <c r="T789" i="3"/>
  <c r="S789" i="3"/>
  <c r="B789" i="3"/>
  <c r="AS788" i="3"/>
  <c r="AH788" i="3"/>
  <c r="AA788" i="3"/>
  <c r="Y788" i="3" s="1"/>
  <c r="T788" i="3"/>
  <c r="U788" i="3" s="1"/>
  <c r="V788" i="3" s="1"/>
  <c r="S788" i="3"/>
  <c r="B788" i="3"/>
  <c r="AS787" i="3"/>
  <c r="AH787" i="3"/>
  <c r="AA787" i="3"/>
  <c r="Y787" i="3" s="1"/>
  <c r="T787" i="3"/>
  <c r="U787" i="3" s="1"/>
  <c r="S787" i="3"/>
  <c r="B787" i="3"/>
  <c r="AS786" i="3"/>
  <c r="AH786" i="3"/>
  <c r="AA786" i="3"/>
  <c r="R786" i="3"/>
  <c r="Q786" i="3"/>
  <c r="L786" i="3"/>
  <c r="J786" i="3"/>
  <c r="I786" i="3"/>
  <c r="T786" i="3" s="1"/>
  <c r="AS785" i="3"/>
  <c r="AH785" i="3"/>
  <c r="AG785" i="3" s="1"/>
  <c r="U785" i="3" s="1"/>
  <c r="AA785" i="3"/>
  <c r="Y785" i="3" s="1"/>
  <c r="T785" i="3"/>
  <c r="S785" i="3"/>
  <c r="B785" i="3"/>
  <c r="AS784" i="3"/>
  <c r="AH784" i="3"/>
  <c r="AA784" i="3"/>
  <c r="Y784" i="3" s="1"/>
  <c r="T784" i="3"/>
  <c r="V784" i="3" s="1"/>
  <c r="S784" i="3"/>
  <c r="K784" i="3"/>
  <c r="K782" i="3" s="1"/>
  <c r="B784" i="3"/>
  <c r="AS783" i="3"/>
  <c r="AR783" i="3" s="1"/>
  <c r="AH783" i="3"/>
  <c r="AA783" i="3"/>
  <c r="Y783" i="3" s="1"/>
  <c r="T783" i="3"/>
  <c r="U783" i="3" s="1"/>
  <c r="S783" i="3"/>
  <c r="B783" i="3"/>
  <c r="AS782" i="3"/>
  <c r="AH782" i="3"/>
  <c r="AA782" i="3"/>
  <c r="R782" i="3"/>
  <c r="Q782" i="3"/>
  <c r="L782" i="3"/>
  <c r="J782" i="3"/>
  <c r="I782" i="3"/>
  <c r="T782" i="3" s="1"/>
  <c r="AS781" i="3"/>
  <c r="AH781" i="3"/>
  <c r="AA781" i="3"/>
  <c r="Y781" i="3" s="1"/>
  <c r="T781" i="3"/>
  <c r="U781" i="3" s="1"/>
  <c r="V781" i="3" s="1"/>
  <c r="S781" i="3"/>
  <c r="B781" i="3"/>
  <c r="AS780" i="3"/>
  <c r="AH780" i="3"/>
  <c r="AG780" i="3" s="1"/>
  <c r="AA780" i="3"/>
  <c r="Y780" i="3" s="1"/>
  <c r="T780" i="3"/>
  <c r="U780" i="3" s="1"/>
  <c r="V780" i="3" s="1"/>
  <c r="S780" i="3"/>
  <c r="B780" i="3"/>
  <c r="AS779" i="3"/>
  <c r="AH779" i="3"/>
  <c r="AA779" i="3"/>
  <c r="Y779" i="3" s="1"/>
  <c r="T779" i="3"/>
  <c r="U779" i="3" s="1"/>
  <c r="V779" i="3" s="1"/>
  <c r="S779" i="3"/>
  <c r="B779" i="3"/>
  <c r="AS778" i="3"/>
  <c r="AH778" i="3"/>
  <c r="AG778" i="3" s="1"/>
  <c r="AA778" i="3"/>
  <c r="Y778" i="3" s="1"/>
  <c r="T778" i="3"/>
  <c r="U778" i="3" s="1"/>
  <c r="V778" i="3" s="1"/>
  <c r="S778" i="3"/>
  <c r="B778" i="3"/>
  <c r="AS777" i="3"/>
  <c r="AH777" i="3"/>
  <c r="AA777" i="3"/>
  <c r="Y777" i="3" s="1"/>
  <c r="T777" i="3"/>
  <c r="U777" i="3" s="1"/>
  <c r="V777" i="3" s="1"/>
  <c r="S777" i="3"/>
  <c r="B777" i="3"/>
  <c r="AS776" i="3"/>
  <c r="AH776" i="3"/>
  <c r="AA776" i="3"/>
  <c r="Y776" i="3" s="1"/>
  <c r="T776" i="3"/>
  <c r="U776" i="3" s="1"/>
  <c r="V776" i="3" s="1"/>
  <c r="S776" i="3"/>
  <c r="B776" i="3"/>
  <c r="AS775" i="3"/>
  <c r="AH775" i="3"/>
  <c r="AA775" i="3"/>
  <c r="Y775" i="3" s="1"/>
  <c r="T775" i="3"/>
  <c r="U775" i="3" s="1"/>
  <c r="V775" i="3" s="1"/>
  <c r="S775" i="3"/>
  <c r="B775" i="3"/>
  <c r="AS774" i="3"/>
  <c r="AR774" i="3" s="1"/>
  <c r="AH774" i="3"/>
  <c r="AA774" i="3"/>
  <c r="Y774" i="3" s="1"/>
  <c r="T774" i="3"/>
  <c r="U774" i="3" s="1"/>
  <c r="V774" i="3" s="1"/>
  <c r="S774" i="3"/>
  <c r="B774" i="3"/>
  <c r="AS773" i="3"/>
  <c r="AH773" i="3"/>
  <c r="AA773" i="3"/>
  <c r="Y773" i="3" s="1"/>
  <c r="T773" i="3"/>
  <c r="U773" i="3" s="1"/>
  <c r="V773" i="3" s="1"/>
  <c r="S773" i="3"/>
  <c r="B773" i="3"/>
  <c r="AS772" i="3"/>
  <c r="AH772" i="3"/>
  <c r="AA772" i="3"/>
  <c r="Y772" i="3" s="1"/>
  <c r="T772" i="3"/>
  <c r="U772" i="3" s="1"/>
  <c r="V772" i="3" s="1"/>
  <c r="S772" i="3"/>
  <c r="B772" i="3"/>
  <c r="AS771" i="3"/>
  <c r="AH771" i="3"/>
  <c r="AA771" i="3"/>
  <c r="Y771" i="3" s="1"/>
  <c r="T771" i="3"/>
  <c r="U771" i="3" s="1"/>
  <c r="V771" i="3" s="1"/>
  <c r="S771" i="3"/>
  <c r="B771" i="3"/>
  <c r="AS770" i="3"/>
  <c r="AH770" i="3"/>
  <c r="AG770" i="3" s="1"/>
  <c r="AA770" i="3"/>
  <c r="Y770" i="3" s="1"/>
  <c r="T770" i="3"/>
  <c r="V770" i="3" s="1"/>
  <c r="S770" i="3"/>
  <c r="B770" i="3"/>
  <c r="AS769" i="3"/>
  <c r="AH769" i="3"/>
  <c r="AG769" i="3" s="1"/>
  <c r="U769" i="3" s="1"/>
  <c r="AA769" i="3"/>
  <c r="Y769" i="3" s="1"/>
  <c r="T769" i="3"/>
  <c r="S769" i="3"/>
  <c r="B769" i="3"/>
  <c r="AS768" i="3"/>
  <c r="AH768" i="3"/>
  <c r="AA768" i="3"/>
  <c r="Y768" i="3" s="1"/>
  <c r="U768" i="3" s="1"/>
  <c r="T768" i="3"/>
  <c r="S768" i="3"/>
  <c r="K768" i="3"/>
  <c r="K759" i="3" s="1"/>
  <c r="B768" i="3"/>
  <c r="AS767" i="3"/>
  <c r="AR767" i="3" s="1"/>
  <c r="AH767" i="3"/>
  <c r="AA767" i="3"/>
  <c r="Y767" i="3" s="1"/>
  <c r="T767" i="3"/>
  <c r="U767" i="3" s="1"/>
  <c r="V767" i="3" s="1"/>
  <c r="S767" i="3"/>
  <c r="B767" i="3"/>
  <c r="AS766" i="3"/>
  <c r="AR766" i="3" s="1"/>
  <c r="U766" i="3" s="1"/>
  <c r="AH766" i="3"/>
  <c r="AA766" i="3"/>
  <c r="Y766" i="3" s="1"/>
  <c r="T766" i="3"/>
  <c r="S766" i="3"/>
  <c r="B766" i="3"/>
  <c r="AS765" i="3"/>
  <c r="AH765" i="3"/>
  <c r="AA765" i="3"/>
  <c r="Y765" i="3" s="1"/>
  <c r="U765" i="3" s="1"/>
  <c r="T765" i="3"/>
  <c r="S765" i="3"/>
  <c r="B765" i="3"/>
  <c r="AS764" i="3"/>
  <c r="AR764" i="3" s="1"/>
  <c r="U764" i="3" s="1"/>
  <c r="AH764" i="3"/>
  <c r="AA764" i="3"/>
  <c r="Y764" i="3" s="1"/>
  <c r="T764" i="3"/>
  <c r="S764" i="3"/>
  <c r="B764" i="3"/>
  <c r="AS763" i="3"/>
  <c r="AH763" i="3"/>
  <c r="AA763" i="3"/>
  <c r="Y763" i="3" s="1"/>
  <c r="U763" i="3" s="1"/>
  <c r="T763" i="3"/>
  <c r="S763" i="3"/>
  <c r="B763" i="3"/>
  <c r="AS762" i="3"/>
  <c r="AR762" i="3" s="1"/>
  <c r="U762" i="3" s="1"/>
  <c r="AH762" i="3"/>
  <c r="AA762" i="3"/>
  <c r="Y762" i="3" s="1"/>
  <c r="T762" i="3"/>
  <c r="S762" i="3"/>
  <c r="B762" i="3"/>
  <c r="AS761" i="3"/>
  <c r="AR761" i="3" s="1"/>
  <c r="U761" i="3" s="1"/>
  <c r="AH761" i="3"/>
  <c r="AA761" i="3"/>
  <c r="Y761" i="3" s="1"/>
  <c r="T761" i="3"/>
  <c r="S761" i="3"/>
  <c r="B761" i="3"/>
  <c r="AS760" i="3"/>
  <c r="AH760" i="3"/>
  <c r="AA760" i="3"/>
  <c r="Y760" i="3" s="1"/>
  <c r="U760" i="3" s="1"/>
  <c r="T760" i="3"/>
  <c r="S760" i="3"/>
  <c r="B760" i="3"/>
  <c r="AS759" i="3"/>
  <c r="AH759" i="3"/>
  <c r="AA759" i="3"/>
  <c r="R759" i="3"/>
  <c r="Q759" i="3"/>
  <c r="L759" i="3"/>
  <c r="J759" i="3"/>
  <c r="I759" i="3"/>
  <c r="T759" i="3" s="1"/>
  <c r="AS758" i="3"/>
  <c r="AR758" i="3" s="1"/>
  <c r="AH758" i="3"/>
  <c r="AA758" i="3"/>
  <c r="Y758" i="3" s="1"/>
  <c r="T758" i="3"/>
  <c r="U758" i="3" s="1"/>
  <c r="V758" i="3" s="1"/>
  <c r="S758" i="3"/>
  <c r="B758" i="3"/>
  <c r="AS757" i="3"/>
  <c r="AH757" i="3"/>
  <c r="AA757" i="3"/>
  <c r="Y757" i="3" s="1"/>
  <c r="T757" i="3"/>
  <c r="U757" i="3" s="1"/>
  <c r="V757" i="3" s="1"/>
  <c r="S757" i="3"/>
  <c r="B757" i="3"/>
  <c r="AS756" i="3"/>
  <c r="AH756" i="3"/>
  <c r="AA756" i="3"/>
  <c r="Y756" i="3" s="1"/>
  <c r="T756" i="3"/>
  <c r="U756" i="3" s="1"/>
  <c r="V756" i="3" s="1"/>
  <c r="S756" i="3"/>
  <c r="B756" i="3"/>
  <c r="AS755" i="3"/>
  <c r="AH755" i="3"/>
  <c r="AA755" i="3"/>
  <c r="Y755" i="3" s="1"/>
  <c r="T755" i="3"/>
  <c r="U755" i="3" s="1"/>
  <c r="V755" i="3" s="1"/>
  <c r="S755" i="3"/>
  <c r="B755" i="3"/>
  <c r="AS754" i="3"/>
  <c r="AH754" i="3"/>
  <c r="AA754" i="3"/>
  <c r="Y754" i="3" s="1"/>
  <c r="T754" i="3"/>
  <c r="U754" i="3" s="1"/>
  <c r="V754" i="3" s="1"/>
  <c r="S754" i="3"/>
  <c r="B754" i="3"/>
  <c r="AS753" i="3"/>
  <c r="AH753" i="3"/>
  <c r="AA753" i="3"/>
  <c r="Y753" i="3" s="1"/>
  <c r="T753" i="3"/>
  <c r="U753" i="3" s="1"/>
  <c r="V753" i="3" s="1"/>
  <c r="S753" i="3"/>
  <c r="B753" i="3"/>
  <c r="AS752" i="3"/>
  <c r="AH752" i="3"/>
  <c r="AA752" i="3"/>
  <c r="Y752" i="3" s="1"/>
  <c r="T752" i="3"/>
  <c r="U752" i="3" s="1"/>
  <c r="V752" i="3" s="1"/>
  <c r="S752" i="3"/>
  <c r="B752" i="3"/>
  <c r="AS751" i="3"/>
  <c r="AH751" i="3"/>
  <c r="AA751" i="3"/>
  <c r="Y751" i="3" s="1"/>
  <c r="T751" i="3"/>
  <c r="U751" i="3" s="1"/>
  <c r="V751" i="3" s="1"/>
  <c r="S751" i="3"/>
  <c r="B751" i="3"/>
  <c r="AS750" i="3"/>
  <c r="AH750" i="3"/>
  <c r="AA750" i="3"/>
  <c r="Y750" i="3" s="1"/>
  <c r="T750" i="3"/>
  <c r="U750" i="3" s="1"/>
  <c r="V750" i="3" s="1"/>
  <c r="S750" i="3"/>
  <c r="B750" i="3"/>
  <c r="AS749" i="3"/>
  <c r="AH749" i="3"/>
  <c r="AA749" i="3"/>
  <c r="Y749" i="3" s="1"/>
  <c r="T749" i="3"/>
  <c r="U749" i="3" s="1"/>
  <c r="V749" i="3" s="1"/>
  <c r="S749" i="3"/>
  <c r="B749" i="3"/>
  <c r="AS748" i="3"/>
  <c r="AH748" i="3"/>
  <c r="AA748" i="3"/>
  <c r="Y748" i="3" s="1"/>
  <c r="T748" i="3"/>
  <c r="U748" i="3" s="1"/>
  <c r="V748" i="3" s="1"/>
  <c r="S748" i="3"/>
  <c r="B748" i="3"/>
  <c r="AS747" i="3"/>
  <c r="AH747" i="3"/>
  <c r="AA747" i="3"/>
  <c r="Y747" i="3" s="1"/>
  <c r="T747" i="3"/>
  <c r="U747" i="3" s="1"/>
  <c r="V747" i="3" s="1"/>
  <c r="S747" i="3"/>
  <c r="B747" i="3"/>
  <c r="AS746" i="3"/>
  <c r="AR746" i="3" s="1"/>
  <c r="AH746" i="3"/>
  <c r="AA746" i="3"/>
  <c r="Y746" i="3" s="1"/>
  <c r="T746" i="3"/>
  <c r="U746" i="3" s="1"/>
  <c r="V746" i="3" s="1"/>
  <c r="S746" i="3"/>
  <c r="B746" i="3"/>
  <c r="AS745" i="3"/>
  <c r="AH745" i="3"/>
  <c r="AA745" i="3"/>
  <c r="Y745" i="3" s="1"/>
  <c r="T745" i="3"/>
  <c r="U745" i="3" s="1"/>
  <c r="V745" i="3" s="1"/>
  <c r="S745" i="3"/>
  <c r="B745" i="3"/>
  <c r="AS744" i="3"/>
  <c r="AH744" i="3"/>
  <c r="AA744" i="3"/>
  <c r="Y744" i="3" s="1"/>
  <c r="T744" i="3"/>
  <c r="U744" i="3" s="1"/>
  <c r="V744" i="3" s="1"/>
  <c r="S744" i="3"/>
  <c r="B744" i="3"/>
  <c r="AS743" i="3"/>
  <c r="AH743" i="3"/>
  <c r="AA743" i="3"/>
  <c r="Y743" i="3" s="1"/>
  <c r="T743" i="3"/>
  <c r="U743" i="3" s="1"/>
  <c r="V743" i="3" s="1"/>
  <c r="S743" i="3"/>
  <c r="B743" i="3"/>
  <c r="AS742" i="3"/>
  <c r="AH742" i="3"/>
  <c r="AA742" i="3"/>
  <c r="Y742" i="3" s="1"/>
  <c r="T742" i="3"/>
  <c r="U742" i="3" s="1"/>
  <c r="V742" i="3" s="1"/>
  <c r="S742" i="3"/>
  <c r="B742" i="3"/>
  <c r="AS741" i="3"/>
  <c r="AH741" i="3"/>
  <c r="AA741" i="3"/>
  <c r="Y741" i="3" s="1"/>
  <c r="T741" i="3"/>
  <c r="U741" i="3" s="1"/>
  <c r="V741" i="3" s="1"/>
  <c r="S741" i="3"/>
  <c r="B741" i="3"/>
  <c r="AS740" i="3"/>
  <c r="AH740" i="3"/>
  <c r="AA740" i="3"/>
  <c r="Y740" i="3" s="1"/>
  <c r="T740" i="3"/>
  <c r="U740" i="3" s="1"/>
  <c r="V740" i="3" s="1"/>
  <c r="S740" i="3"/>
  <c r="B740" i="3"/>
  <c r="AS739" i="3"/>
  <c r="AH739" i="3"/>
  <c r="AA739" i="3"/>
  <c r="Y739" i="3" s="1"/>
  <c r="T739" i="3"/>
  <c r="U739" i="3" s="1"/>
  <c r="V739" i="3" s="1"/>
  <c r="S739" i="3"/>
  <c r="B739" i="3"/>
  <c r="AS738" i="3"/>
  <c r="AH738" i="3"/>
  <c r="AA738" i="3"/>
  <c r="Y738" i="3" s="1"/>
  <c r="T738" i="3"/>
  <c r="U738" i="3" s="1"/>
  <c r="V738" i="3" s="1"/>
  <c r="S738" i="3"/>
  <c r="B738" i="3"/>
  <c r="AS737" i="3"/>
  <c r="AH737" i="3"/>
  <c r="AA737" i="3"/>
  <c r="Y737" i="3" s="1"/>
  <c r="T737" i="3"/>
  <c r="U737" i="3" s="1"/>
  <c r="V737" i="3" s="1"/>
  <c r="S737" i="3"/>
  <c r="B737" i="3"/>
  <c r="AS736" i="3"/>
  <c r="AH736" i="3"/>
  <c r="AG736" i="3" s="1"/>
  <c r="AA736" i="3"/>
  <c r="Y736" i="3" s="1"/>
  <c r="T736" i="3"/>
  <c r="U736" i="3" s="1"/>
  <c r="V736" i="3" s="1"/>
  <c r="S736" i="3"/>
  <c r="B736" i="3"/>
  <c r="AS735" i="3"/>
  <c r="AH735" i="3"/>
  <c r="AA735" i="3"/>
  <c r="Y735" i="3" s="1"/>
  <c r="T735" i="3"/>
  <c r="U735" i="3" s="1"/>
  <c r="V735" i="3" s="1"/>
  <c r="S735" i="3"/>
  <c r="B735" i="3"/>
  <c r="AS734" i="3"/>
  <c r="AH734" i="3"/>
  <c r="AA734" i="3"/>
  <c r="Y734" i="3" s="1"/>
  <c r="T734" i="3"/>
  <c r="U734" i="3" s="1"/>
  <c r="V734" i="3" s="1"/>
  <c r="S734" i="3"/>
  <c r="B734" i="3"/>
  <c r="AS733" i="3"/>
  <c r="AH733" i="3"/>
  <c r="AA733" i="3"/>
  <c r="Y733" i="3" s="1"/>
  <c r="T733" i="3"/>
  <c r="U733" i="3" s="1"/>
  <c r="V733" i="3" s="1"/>
  <c r="S733" i="3"/>
  <c r="B733" i="3"/>
  <c r="AS732" i="3"/>
  <c r="AH732" i="3"/>
  <c r="AG732" i="3" s="1"/>
  <c r="U732" i="3" s="1"/>
  <c r="AA732" i="3"/>
  <c r="Y732" i="3" s="1"/>
  <c r="T732" i="3"/>
  <c r="S732" i="3"/>
  <c r="B732" i="3"/>
  <c r="T731" i="3"/>
  <c r="S731" i="3"/>
  <c r="B731" i="3"/>
  <c r="T730" i="3"/>
  <c r="S730" i="3"/>
  <c r="B730" i="3"/>
  <c r="AS729" i="3"/>
  <c r="AR729" i="3" s="1"/>
  <c r="AH729" i="3"/>
  <c r="AA729" i="3"/>
  <c r="Y729" i="3" s="1"/>
  <c r="T729" i="3"/>
  <c r="U729" i="3" s="1"/>
  <c r="V729" i="3" s="1"/>
  <c r="S729" i="3"/>
  <c r="B729" i="3"/>
  <c r="AS728" i="3"/>
  <c r="AH728" i="3"/>
  <c r="AA728" i="3"/>
  <c r="Y728" i="3" s="1"/>
  <c r="T728" i="3"/>
  <c r="S728" i="3"/>
  <c r="K728" i="3"/>
  <c r="B728" i="3"/>
  <c r="AS727" i="3"/>
  <c r="AH727" i="3"/>
  <c r="AA727" i="3"/>
  <c r="Y727" i="3" s="1"/>
  <c r="T727" i="3"/>
  <c r="U727" i="3" s="1"/>
  <c r="V727" i="3" s="1"/>
  <c r="S727" i="3"/>
  <c r="K727" i="3"/>
  <c r="B727" i="3"/>
  <c r="AS726" i="3"/>
  <c r="AH726" i="3"/>
  <c r="AA726" i="3"/>
  <c r="Y726" i="3" s="1"/>
  <c r="T726" i="3"/>
  <c r="U726" i="3" s="1"/>
  <c r="V726" i="3" s="1"/>
  <c r="S726" i="3"/>
  <c r="K726" i="3"/>
  <c r="B726" i="3"/>
  <c r="AS725" i="3"/>
  <c r="AH725" i="3"/>
  <c r="AA725" i="3"/>
  <c r="Y725" i="3" s="1"/>
  <c r="T725" i="3"/>
  <c r="S725" i="3"/>
  <c r="B725" i="3"/>
  <c r="AS724" i="3"/>
  <c r="AH724" i="3"/>
  <c r="AA724" i="3"/>
  <c r="Y724" i="3" s="1"/>
  <c r="T724" i="3"/>
  <c r="S724" i="3"/>
  <c r="B724" i="3"/>
  <c r="AS723" i="3"/>
  <c r="AH723" i="3"/>
  <c r="AG723" i="3" s="1"/>
  <c r="U723" i="3" s="1"/>
  <c r="AA723" i="3"/>
  <c r="Y723" i="3" s="1"/>
  <c r="T723" i="3"/>
  <c r="S723" i="3"/>
  <c r="B723" i="3"/>
  <c r="AS722" i="3"/>
  <c r="AH722" i="3"/>
  <c r="AA722" i="3"/>
  <c r="Y722" i="3" s="1"/>
  <c r="T722" i="3"/>
  <c r="U722" i="3" s="1"/>
  <c r="V722" i="3" s="1"/>
  <c r="S722" i="3"/>
  <c r="B722" i="3"/>
  <c r="AS721" i="3"/>
  <c r="AH721" i="3"/>
  <c r="AA721" i="3"/>
  <c r="Y721" i="3" s="1"/>
  <c r="T721" i="3"/>
  <c r="S721" i="3"/>
  <c r="B721" i="3"/>
  <c r="AS720" i="3"/>
  <c r="AH720" i="3"/>
  <c r="AA720" i="3"/>
  <c r="Y720" i="3" s="1"/>
  <c r="T720" i="3"/>
  <c r="U720" i="3" s="1"/>
  <c r="V720" i="3" s="1"/>
  <c r="S720" i="3"/>
  <c r="B720" i="3"/>
  <c r="AS719" i="3"/>
  <c r="AH719" i="3"/>
  <c r="AA719" i="3"/>
  <c r="Y719" i="3" s="1"/>
  <c r="T719" i="3"/>
  <c r="U719" i="3" s="1"/>
  <c r="V719" i="3" s="1"/>
  <c r="S719" i="3"/>
  <c r="B719" i="3"/>
  <c r="AS718" i="3"/>
  <c r="AH718" i="3"/>
  <c r="AA718" i="3"/>
  <c r="Y718" i="3" s="1"/>
  <c r="T718" i="3"/>
  <c r="U718" i="3" s="1"/>
  <c r="V718" i="3" s="1"/>
  <c r="S718" i="3"/>
  <c r="B718" i="3"/>
  <c r="AS717" i="3"/>
  <c r="AH717" i="3"/>
  <c r="AA717" i="3"/>
  <c r="Y717" i="3" s="1"/>
  <c r="T717" i="3"/>
  <c r="S717" i="3"/>
  <c r="B717" i="3"/>
  <c r="AS716" i="3"/>
  <c r="AH716" i="3"/>
  <c r="AA716" i="3"/>
  <c r="Y716" i="3" s="1"/>
  <c r="T716" i="3"/>
  <c r="S716" i="3"/>
  <c r="B716" i="3"/>
  <c r="AS715" i="3"/>
  <c r="AH715" i="3"/>
  <c r="AA715" i="3"/>
  <c r="Y715" i="3" s="1"/>
  <c r="U715" i="3" s="1"/>
  <c r="T715" i="3"/>
  <c r="S715" i="3"/>
  <c r="B715" i="3"/>
  <c r="AS714" i="3"/>
  <c r="AH714" i="3"/>
  <c r="AA714" i="3"/>
  <c r="Y714" i="3" s="1"/>
  <c r="U714" i="3" s="1"/>
  <c r="T714" i="3"/>
  <c r="S714" i="3"/>
  <c r="B714" i="3"/>
  <c r="AS713" i="3"/>
  <c r="AH713" i="3"/>
  <c r="AA713" i="3"/>
  <c r="Y713" i="3" s="1"/>
  <c r="T713" i="3"/>
  <c r="S713" i="3"/>
  <c r="B713" i="3"/>
  <c r="AS712" i="3"/>
  <c r="AH712" i="3"/>
  <c r="AA712" i="3"/>
  <c r="Y712" i="3" s="1"/>
  <c r="U712" i="3" s="1"/>
  <c r="T712" i="3"/>
  <c r="S712" i="3"/>
  <c r="B712" i="3"/>
  <c r="AS711" i="3"/>
  <c r="AH711" i="3"/>
  <c r="AA711" i="3"/>
  <c r="Y711" i="3" s="1"/>
  <c r="U711" i="3" s="1"/>
  <c r="T711" i="3"/>
  <c r="S711" i="3"/>
  <c r="B711" i="3"/>
  <c r="AS710" i="3"/>
  <c r="AH710" i="3"/>
  <c r="AA710" i="3"/>
  <c r="Y710" i="3" s="1"/>
  <c r="U710" i="3" s="1"/>
  <c r="T710" i="3"/>
  <c r="S710" i="3"/>
  <c r="B710" i="3"/>
  <c r="AS709" i="3"/>
  <c r="AH709" i="3"/>
  <c r="AA709" i="3"/>
  <c r="Y709" i="3" s="1"/>
  <c r="T709" i="3"/>
  <c r="S709" i="3"/>
  <c r="B709" i="3"/>
  <c r="AS708" i="3"/>
  <c r="AH708" i="3"/>
  <c r="AA708" i="3"/>
  <c r="Y708" i="3" s="1"/>
  <c r="T708" i="3"/>
  <c r="S708" i="3"/>
  <c r="B708" i="3"/>
  <c r="AS707" i="3"/>
  <c r="AH707" i="3"/>
  <c r="AA707" i="3"/>
  <c r="Y707" i="3" s="1"/>
  <c r="T707" i="3"/>
  <c r="S707" i="3"/>
  <c r="B707" i="3"/>
  <c r="AS706" i="3"/>
  <c r="AH706" i="3"/>
  <c r="AA706" i="3"/>
  <c r="Y706" i="3" s="1"/>
  <c r="T706" i="3"/>
  <c r="V706" i="3" s="1"/>
  <c r="S706" i="3"/>
  <c r="B706" i="3"/>
  <c r="AS705" i="3"/>
  <c r="AH705" i="3"/>
  <c r="AA705" i="3"/>
  <c r="Y705" i="3" s="1"/>
  <c r="T705" i="3"/>
  <c r="V705" i="3" s="1"/>
  <c r="S705" i="3"/>
  <c r="B705" i="3"/>
  <c r="AS704" i="3"/>
  <c r="AH704" i="3"/>
  <c r="AA704" i="3"/>
  <c r="Y704" i="3" s="1"/>
  <c r="T704" i="3"/>
  <c r="V704" i="3" s="1"/>
  <c r="S704" i="3"/>
  <c r="B704" i="3"/>
  <c r="AS703" i="3"/>
  <c r="AH703" i="3"/>
  <c r="AA703" i="3"/>
  <c r="Y703" i="3" s="1"/>
  <c r="T703" i="3"/>
  <c r="S703" i="3"/>
  <c r="B703" i="3"/>
  <c r="AS702" i="3"/>
  <c r="AH702" i="3"/>
  <c r="AA702" i="3"/>
  <c r="Y702" i="3" s="1"/>
  <c r="T702" i="3"/>
  <c r="S702" i="3"/>
  <c r="B702" i="3"/>
  <c r="AS701" i="3"/>
  <c r="AH701" i="3"/>
  <c r="AA701" i="3"/>
  <c r="Y701" i="3" s="1"/>
  <c r="T701" i="3"/>
  <c r="S701" i="3"/>
  <c r="B701" i="3"/>
  <c r="AS700" i="3"/>
  <c r="AH700" i="3"/>
  <c r="AA700" i="3"/>
  <c r="Y700" i="3" s="1"/>
  <c r="T700" i="3"/>
  <c r="S700" i="3"/>
  <c r="B700" i="3"/>
  <c r="AS699" i="3"/>
  <c r="AR699" i="3" s="1"/>
  <c r="AH699" i="3"/>
  <c r="AA699" i="3"/>
  <c r="Y699" i="3" s="1"/>
  <c r="T699" i="3"/>
  <c r="U699" i="3" s="1"/>
  <c r="V699" i="3" s="1"/>
  <c r="S699" i="3"/>
  <c r="B699" i="3"/>
  <c r="AS698" i="3"/>
  <c r="AH698" i="3"/>
  <c r="AA698" i="3"/>
  <c r="Y698" i="3" s="1"/>
  <c r="U698" i="3" s="1"/>
  <c r="T698" i="3"/>
  <c r="S698" i="3"/>
  <c r="B698" i="3"/>
  <c r="AS697" i="3"/>
  <c r="AH697" i="3"/>
  <c r="AA697" i="3"/>
  <c r="R697" i="3"/>
  <c r="Q697" i="3"/>
  <c r="L697" i="3"/>
  <c r="J697" i="3"/>
  <c r="I697" i="3"/>
  <c r="AS694" i="3"/>
  <c r="AH694" i="3"/>
  <c r="AA694" i="3"/>
  <c r="Y694" i="3" s="1"/>
  <c r="T694" i="3"/>
  <c r="S694" i="3"/>
  <c r="K694" i="3"/>
  <c r="B694" i="3"/>
  <c r="AS693" i="3"/>
  <c r="AH693" i="3"/>
  <c r="AA693" i="3"/>
  <c r="Y693" i="3" s="1"/>
  <c r="T693" i="3"/>
  <c r="S693" i="3"/>
  <c r="K693" i="3"/>
  <c r="B693" i="3"/>
  <c r="AS692" i="3"/>
  <c r="AH692" i="3"/>
  <c r="AA692" i="3"/>
  <c r="Y692" i="3" s="1"/>
  <c r="T692" i="3"/>
  <c r="U692" i="3" s="1"/>
  <c r="V692" i="3" s="1"/>
  <c r="S692" i="3"/>
  <c r="K692" i="3"/>
  <c r="B692" i="3"/>
  <c r="AS691" i="3"/>
  <c r="AH691" i="3"/>
  <c r="AA691" i="3"/>
  <c r="Y691" i="3" s="1"/>
  <c r="T691" i="3"/>
  <c r="U691" i="3" s="1"/>
  <c r="V691" i="3" s="1"/>
  <c r="S691" i="3"/>
  <c r="B691" i="3"/>
  <c r="AS690" i="3"/>
  <c r="AH690" i="3"/>
  <c r="AA690" i="3"/>
  <c r="Y690" i="3" s="1"/>
  <c r="T690" i="3"/>
  <c r="U690" i="3" s="1"/>
  <c r="V690" i="3" s="1"/>
  <c r="S690" i="3"/>
  <c r="B690" i="3"/>
  <c r="AS689" i="3"/>
  <c r="AH689" i="3"/>
  <c r="AA689" i="3"/>
  <c r="Y689" i="3" s="1"/>
  <c r="T689" i="3"/>
  <c r="U689" i="3" s="1"/>
  <c r="V689" i="3" s="1"/>
  <c r="S689" i="3"/>
  <c r="B689" i="3"/>
  <c r="AS688" i="3"/>
  <c r="AH688" i="3"/>
  <c r="AA688" i="3"/>
  <c r="Y688" i="3" s="1"/>
  <c r="T688" i="3"/>
  <c r="U688" i="3" s="1"/>
  <c r="V688" i="3" s="1"/>
  <c r="S688" i="3"/>
  <c r="B688" i="3"/>
  <c r="AS687" i="3"/>
  <c r="AH687" i="3"/>
  <c r="AA687" i="3"/>
  <c r="Y687" i="3" s="1"/>
  <c r="U687" i="3" s="1"/>
  <c r="T687" i="3"/>
  <c r="S687" i="3"/>
  <c r="B687" i="3"/>
  <c r="AS686" i="3"/>
  <c r="AH686" i="3"/>
  <c r="AA686" i="3"/>
  <c r="Y686" i="3" s="1"/>
  <c r="T686" i="3"/>
  <c r="U686" i="3" s="1"/>
  <c r="V686" i="3" s="1"/>
  <c r="S686" i="3"/>
  <c r="B686" i="3"/>
  <c r="AS685" i="3"/>
  <c r="AH685" i="3"/>
  <c r="AG685" i="3" s="1"/>
  <c r="U685" i="3" s="1"/>
  <c r="AA685" i="3"/>
  <c r="Y685" i="3" s="1"/>
  <c r="T685" i="3"/>
  <c r="S685" i="3"/>
  <c r="B685" i="3"/>
  <c r="AS684" i="3"/>
  <c r="AH684" i="3"/>
  <c r="AA684" i="3"/>
  <c r="Y684" i="3" s="1"/>
  <c r="U684" i="3" s="1"/>
  <c r="T684" i="3"/>
  <c r="S684" i="3"/>
  <c r="B684" i="3"/>
  <c r="AS683" i="3"/>
  <c r="AH683" i="3"/>
  <c r="AA683" i="3"/>
  <c r="Y683" i="3" s="1"/>
  <c r="T683" i="3"/>
  <c r="U683" i="3" s="1"/>
  <c r="V683" i="3" s="1"/>
  <c r="S683" i="3"/>
  <c r="B683" i="3"/>
  <c r="AS682" i="3"/>
  <c r="AH682" i="3"/>
  <c r="AA682" i="3"/>
  <c r="Y682" i="3" s="1"/>
  <c r="T682" i="3"/>
  <c r="U682" i="3" s="1"/>
  <c r="V682" i="3" s="1"/>
  <c r="S682" i="3"/>
  <c r="B682" i="3"/>
  <c r="AS681" i="3"/>
  <c r="AH681" i="3"/>
  <c r="AA681" i="3"/>
  <c r="Y681" i="3" s="1"/>
  <c r="T681" i="3"/>
  <c r="U681" i="3" s="1"/>
  <c r="V681" i="3" s="1"/>
  <c r="S681" i="3"/>
  <c r="B681" i="3"/>
  <c r="AS680" i="3"/>
  <c r="AH680" i="3"/>
  <c r="AG680" i="3" s="1"/>
  <c r="U680" i="3" s="1"/>
  <c r="AA680" i="3"/>
  <c r="Y680" i="3" s="1"/>
  <c r="T680" i="3"/>
  <c r="S680" i="3"/>
  <c r="B680" i="3"/>
  <c r="AS679" i="3"/>
  <c r="AH679" i="3"/>
  <c r="AA679" i="3"/>
  <c r="Y679" i="3" s="1"/>
  <c r="T679" i="3"/>
  <c r="U679" i="3" s="1"/>
  <c r="S679" i="3"/>
  <c r="B679" i="3"/>
  <c r="AS678" i="3"/>
  <c r="AH678" i="3"/>
  <c r="AA678" i="3"/>
  <c r="R678" i="3"/>
  <c r="Q678" i="3"/>
  <c r="L678" i="3"/>
  <c r="J678" i="3"/>
  <c r="I678" i="3"/>
  <c r="AS677" i="3"/>
  <c r="AR677" i="3" s="1"/>
  <c r="AH677" i="3"/>
  <c r="AA677" i="3"/>
  <c r="Y677" i="3" s="1"/>
  <c r="T677" i="3"/>
  <c r="U677" i="3" s="1"/>
  <c r="V677" i="3" s="1"/>
  <c r="S677" i="3"/>
  <c r="B677" i="3"/>
  <c r="E79" i="5" s="1"/>
  <c r="AS676" i="3"/>
  <c r="AR676" i="3" s="1"/>
  <c r="AH676" i="3"/>
  <c r="AA676" i="3"/>
  <c r="Y676" i="3" s="1"/>
  <c r="T676" i="3"/>
  <c r="U676" i="3" s="1"/>
  <c r="V676" i="3" s="1"/>
  <c r="S676" i="3"/>
  <c r="B676" i="3"/>
  <c r="AS675" i="3"/>
  <c r="AR675" i="3" s="1"/>
  <c r="AH675" i="3"/>
  <c r="AA675" i="3"/>
  <c r="Y675" i="3" s="1"/>
  <c r="T675" i="3"/>
  <c r="U675" i="3" s="1"/>
  <c r="V675" i="3" s="1"/>
  <c r="S675" i="3"/>
  <c r="B675" i="3"/>
  <c r="AS674" i="3"/>
  <c r="AR674" i="3" s="1"/>
  <c r="AH674" i="3"/>
  <c r="AA674" i="3"/>
  <c r="Y674" i="3" s="1"/>
  <c r="T674" i="3"/>
  <c r="U674" i="3" s="1"/>
  <c r="V674" i="3" s="1"/>
  <c r="S674" i="3"/>
  <c r="B674" i="3"/>
  <c r="AS673" i="3"/>
  <c r="AH673" i="3"/>
  <c r="AA673" i="3"/>
  <c r="Y673" i="3" s="1"/>
  <c r="T673" i="3"/>
  <c r="U673" i="3" s="1"/>
  <c r="V673" i="3" s="1"/>
  <c r="S673" i="3"/>
  <c r="B673" i="3"/>
  <c r="AS672" i="3"/>
  <c r="AH672" i="3"/>
  <c r="AA672" i="3"/>
  <c r="Y672" i="3" s="1"/>
  <c r="T672" i="3"/>
  <c r="U672" i="3" s="1"/>
  <c r="V672" i="3" s="1"/>
  <c r="S672" i="3"/>
  <c r="B672" i="3"/>
  <c r="AS671" i="3"/>
  <c r="AH671" i="3"/>
  <c r="AA671" i="3"/>
  <c r="Y671" i="3" s="1"/>
  <c r="T671" i="3"/>
  <c r="U671" i="3" s="1"/>
  <c r="V671" i="3" s="1"/>
  <c r="S671" i="3"/>
  <c r="B671" i="3"/>
  <c r="AS670" i="3"/>
  <c r="AH670" i="3"/>
  <c r="AA670" i="3"/>
  <c r="Y670" i="3" s="1"/>
  <c r="T670" i="3"/>
  <c r="U670" i="3" s="1"/>
  <c r="V670" i="3" s="1"/>
  <c r="S670" i="3"/>
  <c r="B670" i="3"/>
  <c r="AS669" i="3"/>
  <c r="AH669" i="3"/>
  <c r="AA669" i="3"/>
  <c r="Y669" i="3" s="1"/>
  <c r="T669" i="3"/>
  <c r="U669" i="3" s="1"/>
  <c r="V669" i="3" s="1"/>
  <c r="S669" i="3"/>
  <c r="B669" i="3"/>
  <c r="AS668" i="3"/>
  <c r="AH668" i="3"/>
  <c r="AA668" i="3"/>
  <c r="Y668" i="3" s="1"/>
  <c r="T668" i="3"/>
  <c r="U668" i="3" s="1"/>
  <c r="V668" i="3" s="1"/>
  <c r="S668" i="3"/>
  <c r="B668" i="3"/>
  <c r="AS667" i="3"/>
  <c r="AH667" i="3"/>
  <c r="AA667" i="3"/>
  <c r="Y667" i="3" s="1"/>
  <c r="T667" i="3"/>
  <c r="U667" i="3" s="1"/>
  <c r="V667" i="3" s="1"/>
  <c r="S667" i="3"/>
  <c r="B667" i="3"/>
  <c r="AS666" i="3"/>
  <c r="AH666" i="3"/>
  <c r="AA666" i="3"/>
  <c r="Y666" i="3" s="1"/>
  <c r="T666" i="3"/>
  <c r="U666" i="3" s="1"/>
  <c r="V666" i="3" s="1"/>
  <c r="S666" i="3"/>
  <c r="B666" i="3"/>
  <c r="AS665" i="3"/>
  <c r="AH665" i="3"/>
  <c r="AA665" i="3"/>
  <c r="Y665" i="3" s="1"/>
  <c r="T665" i="3"/>
  <c r="U665" i="3" s="1"/>
  <c r="V665" i="3" s="1"/>
  <c r="S665" i="3"/>
  <c r="B665" i="3"/>
  <c r="AS664" i="3"/>
  <c r="AH664" i="3"/>
  <c r="AA664" i="3"/>
  <c r="Y664" i="3" s="1"/>
  <c r="T664" i="3"/>
  <c r="U664" i="3" s="1"/>
  <c r="V664" i="3" s="1"/>
  <c r="S664" i="3"/>
  <c r="B664" i="3"/>
  <c r="AS663" i="3"/>
  <c r="AH663" i="3"/>
  <c r="AA663" i="3"/>
  <c r="Y663" i="3" s="1"/>
  <c r="T663" i="3"/>
  <c r="U663" i="3" s="1"/>
  <c r="V663" i="3" s="1"/>
  <c r="S663" i="3"/>
  <c r="B663" i="3"/>
  <c r="AS662" i="3"/>
  <c r="AH662" i="3"/>
  <c r="AA662" i="3"/>
  <c r="Y662" i="3" s="1"/>
  <c r="T662" i="3"/>
  <c r="U662" i="3" s="1"/>
  <c r="V662" i="3" s="1"/>
  <c r="S662" i="3"/>
  <c r="B662" i="3"/>
  <c r="AS661" i="3"/>
  <c r="AH661" i="3"/>
  <c r="AA661" i="3"/>
  <c r="Y661" i="3" s="1"/>
  <c r="T661" i="3"/>
  <c r="U661" i="3" s="1"/>
  <c r="V661" i="3" s="1"/>
  <c r="S661" i="3"/>
  <c r="B661" i="3"/>
  <c r="AS660" i="3"/>
  <c r="AH660" i="3"/>
  <c r="AA660" i="3"/>
  <c r="Y660" i="3" s="1"/>
  <c r="T660" i="3"/>
  <c r="U660" i="3" s="1"/>
  <c r="V660" i="3" s="1"/>
  <c r="S660" i="3"/>
  <c r="B660" i="3"/>
  <c r="AS659" i="3"/>
  <c r="AH659" i="3"/>
  <c r="AA659" i="3"/>
  <c r="Y659" i="3" s="1"/>
  <c r="T659" i="3"/>
  <c r="U659" i="3" s="1"/>
  <c r="V659" i="3" s="1"/>
  <c r="S659" i="3"/>
  <c r="B659" i="3"/>
  <c r="AS658" i="3"/>
  <c r="AH658" i="3"/>
  <c r="AA658" i="3"/>
  <c r="Y658" i="3" s="1"/>
  <c r="T658" i="3"/>
  <c r="U658" i="3" s="1"/>
  <c r="V658" i="3" s="1"/>
  <c r="S658" i="3"/>
  <c r="B658" i="3"/>
  <c r="AS657" i="3"/>
  <c r="AH657" i="3"/>
  <c r="AA657" i="3"/>
  <c r="Y657" i="3" s="1"/>
  <c r="T657" i="3"/>
  <c r="U657" i="3" s="1"/>
  <c r="V657" i="3" s="1"/>
  <c r="S657" i="3"/>
  <c r="B657" i="3"/>
  <c r="AS656" i="3"/>
  <c r="AH656" i="3"/>
  <c r="AA656" i="3"/>
  <c r="Y656" i="3" s="1"/>
  <c r="T656" i="3"/>
  <c r="U656" i="3" s="1"/>
  <c r="V656" i="3" s="1"/>
  <c r="S656" i="3"/>
  <c r="B656" i="3"/>
  <c r="AS655" i="3"/>
  <c r="AH655" i="3"/>
  <c r="AA655" i="3"/>
  <c r="Y655" i="3" s="1"/>
  <c r="T655" i="3"/>
  <c r="U655" i="3" s="1"/>
  <c r="V655" i="3" s="1"/>
  <c r="S655" i="3"/>
  <c r="B655" i="3"/>
  <c r="AS654" i="3"/>
  <c r="AH654" i="3"/>
  <c r="AG654" i="3" s="1"/>
  <c r="AA654" i="3"/>
  <c r="Y654" i="3" s="1"/>
  <c r="T654" i="3"/>
  <c r="U654" i="3" s="1"/>
  <c r="V654" i="3" s="1"/>
  <c r="S654" i="3"/>
  <c r="B654" i="3"/>
  <c r="AS653" i="3"/>
  <c r="AH653" i="3"/>
  <c r="AA653" i="3"/>
  <c r="Y653" i="3" s="1"/>
  <c r="T653" i="3"/>
  <c r="U653" i="3" s="1"/>
  <c r="V653" i="3" s="1"/>
  <c r="S653" i="3"/>
  <c r="B653" i="3"/>
  <c r="AS652" i="3"/>
  <c r="AH652" i="3"/>
  <c r="AA652" i="3"/>
  <c r="Y652" i="3" s="1"/>
  <c r="T652" i="3"/>
  <c r="U652" i="3" s="1"/>
  <c r="V652" i="3" s="1"/>
  <c r="S652" i="3"/>
  <c r="B652" i="3"/>
  <c r="AS651" i="3"/>
  <c r="AH651" i="3"/>
  <c r="AG651" i="3" s="1"/>
  <c r="AA651" i="3"/>
  <c r="Y651" i="3" s="1"/>
  <c r="T651" i="3"/>
  <c r="U651" i="3" s="1"/>
  <c r="V651" i="3" s="1"/>
  <c r="S651" i="3"/>
  <c r="B651" i="3"/>
  <c r="AS650" i="3"/>
  <c r="AH650" i="3"/>
  <c r="AA650" i="3"/>
  <c r="Y650" i="3" s="1"/>
  <c r="T650" i="3"/>
  <c r="U650" i="3" s="1"/>
  <c r="V650" i="3" s="1"/>
  <c r="S650" i="3"/>
  <c r="B650" i="3"/>
  <c r="AS649" i="3"/>
  <c r="AH649" i="3"/>
  <c r="AA649" i="3"/>
  <c r="Y649" i="3" s="1"/>
  <c r="T649" i="3"/>
  <c r="U649" i="3" s="1"/>
  <c r="V649" i="3" s="1"/>
  <c r="S649" i="3"/>
  <c r="B649" i="3"/>
  <c r="AS648" i="3"/>
  <c r="AH648" i="3"/>
  <c r="AA648" i="3"/>
  <c r="Y648" i="3" s="1"/>
  <c r="T648" i="3"/>
  <c r="U648" i="3" s="1"/>
  <c r="V648" i="3" s="1"/>
  <c r="S648" i="3"/>
  <c r="B648" i="3"/>
  <c r="AS647" i="3"/>
  <c r="AH647" i="3"/>
  <c r="AA647" i="3"/>
  <c r="Y647" i="3" s="1"/>
  <c r="T647" i="3"/>
  <c r="U647" i="3" s="1"/>
  <c r="V647" i="3" s="1"/>
  <c r="S647" i="3"/>
  <c r="B647" i="3"/>
  <c r="AS646" i="3"/>
  <c r="AH646" i="3"/>
  <c r="AA646" i="3"/>
  <c r="Y646" i="3" s="1"/>
  <c r="T646" i="3"/>
  <c r="U646" i="3" s="1"/>
  <c r="V646" i="3" s="1"/>
  <c r="S646" i="3"/>
  <c r="B646" i="3"/>
  <c r="AS645" i="3"/>
  <c r="AH645" i="3"/>
  <c r="AA645" i="3"/>
  <c r="Y645" i="3" s="1"/>
  <c r="T645" i="3"/>
  <c r="U645" i="3" s="1"/>
  <c r="V645" i="3" s="1"/>
  <c r="S645" i="3"/>
  <c r="B645" i="3"/>
  <c r="AS644" i="3"/>
  <c r="AR644" i="3" s="1"/>
  <c r="AH644" i="3"/>
  <c r="AA644" i="3"/>
  <c r="Y644" i="3" s="1"/>
  <c r="T644" i="3"/>
  <c r="U644" i="3" s="1"/>
  <c r="V644" i="3" s="1"/>
  <c r="S644" i="3"/>
  <c r="B644" i="3"/>
  <c r="AS643" i="3"/>
  <c r="AH643" i="3"/>
  <c r="AA643" i="3"/>
  <c r="Y643" i="3" s="1"/>
  <c r="T643" i="3"/>
  <c r="U643" i="3" s="1"/>
  <c r="V643" i="3" s="1"/>
  <c r="S643" i="3"/>
  <c r="B643" i="3"/>
  <c r="AS642" i="3"/>
  <c r="AH642" i="3"/>
  <c r="AA642" i="3"/>
  <c r="Y642" i="3" s="1"/>
  <c r="T642" i="3"/>
  <c r="U642" i="3" s="1"/>
  <c r="V642" i="3" s="1"/>
  <c r="S642" i="3"/>
  <c r="B642" i="3"/>
  <c r="AS641" i="3"/>
  <c r="AH641" i="3"/>
  <c r="AA641" i="3"/>
  <c r="Y641" i="3" s="1"/>
  <c r="T641" i="3"/>
  <c r="U641" i="3" s="1"/>
  <c r="V641" i="3" s="1"/>
  <c r="S641" i="3"/>
  <c r="B641" i="3"/>
  <c r="AS640" i="3"/>
  <c r="AH640" i="3"/>
  <c r="AA640" i="3"/>
  <c r="Y640" i="3" s="1"/>
  <c r="T640" i="3"/>
  <c r="U640" i="3" s="1"/>
  <c r="V640" i="3" s="1"/>
  <c r="S640" i="3"/>
  <c r="B640" i="3"/>
  <c r="AS639" i="3"/>
  <c r="AH639" i="3"/>
  <c r="AA639" i="3"/>
  <c r="Y639" i="3" s="1"/>
  <c r="T639" i="3"/>
  <c r="U639" i="3" s="1"/>
  <c r="V639" i="3" s="1"/>
  <c r="S639" i="3"/>
  <c r="B639" i="3"/>
  <c r="AS638" i="3"/>
  <c r="AH638" i="3"/>
  <c r="AA638" i="3"/>
  <c r="Y638" i="3" s="1"/>
  <c r="T638" i="3"/>
  <c r="U638" i="3" s="1"/>
  <c r="V638" i="3" s="1"/>
  <c r="S638" i="3"/>
  <c r="B638" i="3"/>
  <c r="AS637" i="3"/>
  <c r="AH637" i="3"/>
  <c r="AA637" i="3"/>
  <c r="Y637" i="3" s="1"/>
  <c r="T637" i="3"/>
  <c r="U637" i="3" s="1"/>
  <c r="V637" i="3" s="1"/>
  <c r="S637" i="3"/>
  <c r="B637" i="3"/>
  <c r="AS636" i="3"/>
  <c r="AH636" i="3"/>
  <c r="AA636" i="3"/>
  <c r="Y636" i="3" s="1"/>
  <c r="T636" i="3"/>
  <c r="U636" i="3" s="1"/>
  <c r="V636" i="3" s="1"/>
  <c r="S636" i="3"/>
  <c r="B636" i="3"/>
  <c r="AS635" i="3"/>
  <c r="AH635" i="3"/>
  <c r="AA635" i="3"/>
  <c r="Y635" i="3" s="1"/>
  <c r="T635" i="3"/>
  <c r="U635" i="3" s="1"/>
  <c r="V635" i="3" s="1"/>
  <c r="S635" i="3"/>
  <c r="B635" i="3"/>
  <c r="AS634" i="3"/>
  <c r="AH634" i="3"/>
  <c r="AA634" i="3"/>
  <c r="Y634" i="3" s="1"/>
  <c r="T634" i="3"/>
  <c r="U634" i="3" s="1"/>
  <c r="V634" i="3" s="1"/>
  <c r="S634" i="3"/>
  <c r="B634" i="3"/>
  <c r="AS633" i="3"/>
  <c r="AH633" i="3"/>
  <c r="AA633" i="3"/>
  <c r="Y633" i="3" s="1"/>
  <c r="T633" i="3"/>
  <c r="U633" i="3" s="1"/>
  <c r="V633" i="3" s="1"/>
  <c r="S633" i="3"/>
  <c r="B633" i="3"/>
  <c r="AS632" i="3"/>
  <c r="AH632" i="3"/>
  <c r="AA632" i="3"/>
  <c r="Y632" i="3" s="1"/>
  <c r="T632" i="3"/>
  <c r="U632" i="3" s="1"/>
  <c r="V632" i="3" s="1"/>
  <c r="S632" i="3"/>
  <c r="B632" i="3"/>
  <c r="AS631" i="3"/>
  <c r="AH631" i="3"/>
  <c r="AA631" i="3"/>
  <c r="Y631" i="3" s="1"/>
  <c r="T631" i="3"/>
  <c r="U631" i="3" s="1"/>
  <c r="V631" i="3" s="1"/>
  <c r="S631" i="3"/>
  <c r="B631" i="3"/>
  <c r="AS630" i="3"/>
  <c r="AH630" i="3"/>
  <c r="AA630" i="3"/>
  <c r="Y630" i="3" s="1"/>
  <c r="T630" i="3"/>
  <c r="U630" i="3" s="1"/>
  <c r="V630" i="3" s="1"/>
  <c r="S630" i="3"/>
  <c r="B630" i="3"/>
  <c r="AS629" i="3"/>
  <c r="AH629" i="3"/>
  <c r="AA629" i="3"/>
  <c r="Y629" i="3" s="1"/>
  <c r="T629" i="3"/>
  <c r="U629" i="3" s="1"/>
  <c r="V629" i="3" s="1"/>
  <c r="S629" i="3"/>
  <c r="B629" i="3"/>
  <c r="AS628" i="3"/>
  <c r="AH628" i="3"/>
  <c r="AA628" i="3"/>
  <c r="Y628" i="3" s="1"/>
  <c r="T628" i="3"/>
  <c r="U628" i="3" s="1"/>
  <c r="V628" i="3" s="1"/>
  <c r="S628" i="3"/>
  <c r="B628" i="3"/>
  <c r="AS627" i="3"/>
  <c r="AH627" i="3"/>
  <c r="AA627" i="3"/>
  <c r="Y627" i="3" s="1"/>
  <c r="T627" i="3"/>
  <c r="U627" i="3" s="1"/>
  <c r="V627" i="3" s="1"/>
  <c r="S627" i="3"/>
  <c r="B627" i="3"/>
  <c r="AS626" i="3"/>
  <c r="AH626" i="3"/>
  <c r="AA626" i="3"/>
  <c r="Y626" i="3" s="1"/>
  <c r="T626" i="3"/>
  <c r="U626" i="3" s="1"/>
  <c r="V626" i="3" s="1"/>
  <c r="S626" i="3"/>
  <c r="B626" i="3"/>
  <c r="AS625" i="3"/>
  <c r="AH625" i="3"/>
  <c r="AA625" i="3"/>
  <c r="Y625" i="3" s="1"/>
  <c r="T625" i="3"/>
  <c r="U625" i="3" s="1"/>
  <c r="V625" i="3" s="1"/>
  <c r="S625" i="3"/>
  <c r="B625" i="3"/>
  <c r="AS624" i="3"/>
  <c r="AH624" i="3"/>
  <c r="AA624" i="3"/>
  <c r="Y624" i="3" s="1"/>
  <c r="T624" i="3"/>
  <c r="U624" i="3" s="1"/>
  <c r="V624" i="3" s="1"/>
  <c r="S624" i="3"/>
  <c r="B624" i="3"/>
  <c r="AS623" i="3"/>
  <c r="AH623" i="3"/>
  <c r="AA623" i="3"/>
  <c r="Y623" i="3" s="1"/>
  <c r="T623" i="3"/>
  <c r="U623" i="3" s="1"/>
  <c r="V623" i="3" s="1"/>
  <c r="S623" i="3"/>
  <c r="B623" i="3"/>
  <c r="AS622" i="3"/>
  <c r="AH622" i="3"/>
  <c r="AA622" i="3"/>
  <c r="Y622" i="3" s="1"/>
  <c r="T622" i="3"/>
  <c r="U622" i="3" s="1"/>
  <c r="V622" i="3" s="1"/>
  <c r="S622" i="3"/>
  <c r="B622" i="3"/>
  <c r="AS621" i="3"/>
  <c r="AH621" i="3"/>
  <c r="AA621" i="3"/>
  <c r="Y621" i="3" s="1"/>
  <c r="T621" i="3"/>
  <c r="U621" i="3" s="1"/>
  <c r="V621" i="3" s="1"/>
  <c r="S621" i="3"/>
  <c r="B621" i="3"/>
  <c r="AS620" i="3"/>
  <c r="AH620" i="3"/>
  <c r="AA620" i="3"/>
  <c r="Y620" i="3" s="1"/>
  <c r="T620" i="3"/>
  <c r="U620" i="3" s="1"/>
  <c r="V620" i="3" s="1"/>
  <c r="S620" i="3"/>
  <c r="B620" i="3"/>
  <c r="AS619" i="3"/>
  <c r="AH619" i="3"/>
  <c r="AA619" i="3"/>
  <c r="Y619" i="3" s="1"/>
  <c r="T619" i="3"/>
  <c r="U619" i="3" s="1"/>
  <c r="V619" i="3" s="1"/>
  <c r="S619" i="3"/>
  <c r="B619" i="3"/>
  <c r="AS618" i="3"/>
  <c r="AH618" i="3"/>
  <c r="AG618" i="3" s="1"/>
  <c r="U618" i="3" s="1"/>
  <c r="AA618" i="3"/>
  <c r="Y618" i="3" s="1"/>
  <c r="T618" i="3"/>
  <c r="S618" i="3"/>
  <c r="B618" i="3"/>
  <c r="AS617" i="3"/>
  <c r="AH617" i="3"/>
  <c r="AA617" i="3"/>
  <c r="Y617" i="3" s="1"/>
  <c r="U617" i="3" s="1"/>
  <c r="T617" i="3"/>
  <c r="S617" i="3"/>
  <c r="B617" i="3"/>
  <c r="AS616" i="3"/>
  <c r="AH616" i="3"/>
  <c r="AA616" i="3"/>
  <c r="Y616" i="3" s="1"/>
  <c r="U616" i="3" s="1"/>
  <c r="T616" i="3"/>
  <c r="S616" i="3"/>
  <c r="B616" i="3"/>
  <c r="AS615" i="3"/>
  <c r="AH615" i="3"/>
  <c r="AG615" i="3" s="1"/>
  <c r="U615" i="3" s="1"/>
  <c r="AA615" i="3"/>
  <c r="Y615" i="3" s="1"/>
  <c r="T615" i="3"/>
  <c r="S615" i="3"/>
  <c r="B615" i="3"/>
  <c r="AS614" i="3"/>
  <c r="AH614" i="3"/>
  <c r="AA614" i="3"/>
  <c r="Y614" i="3" s="1"/>
  <c r="U614" i="3" s="1"/>
  <c r="T614" i="3"/>
  <c r="S614" i="3"/>
  <c r="B614" i="3"/>
  <c r="AS613" i="3"/>
  <c r="AH613" i="3"/>
  <c r="AA613" i="3"/>
  <c r="Y613" i="3" s="1"/>
  <c r="U613" i="3" s="1"/>
  <c r="T613" i="3"/>
  <c r="S613" i="3"/>
  <c r="B613" i="3"/>
  <c r="AS612" i="3"/>
  <c r="AH612" i="3"/>
  <c r="AA612" i="3"/>
  <c r="Y612" i="3" s="1"/>
  <c r="U612" i="3" s="1"/>
  <c r="T612" i="3"/>
  <c r="S612" i="3"/>
  <c r="B612" i="3"/>
  <c r="AS611" i="3"/>
  <c r="AH611" i="3"/>
  <c r="AG611" i="3" s="1"/>
  <c r="U611" i="3" s="1"/>
  <c r="AA611" i="3"/>
  <c r="Y611" i="3" s="1"/>
  <c r="T611" i="3"/>
  <c r="S611" i="3"/>
  <c r="B611" i="3"/>
  <c r="AS610" i="3"/>
  <c r="AH610" i="3"/>
  <c r="AA610" i="3"/>
  <c r="Y610" i="3" s="1"/>
  <c r="U610" i="3" s="1"/>
  <c r="T610" i="3"/>
  <c r="S610" i="3"/>
  <c r="B610" i="3"/>
  <c r="AS609" i="3"/>
  <c r="AH609" i="3"/>
  <c r="AA609" i="3"/>
  <c r="Y609" i="3" s="1"/>
  <c r="T609" i="3"/>
  <c r="U609" i="3" s="1"/>
  <c r="V609" i="3" s="1"/>
  <c r="S609" i="3"/>
  <c r="B609" i="3"/>
  <c r="AS608" i="3"/>
  <c r="AH608" i="3"/>
  <c r="AA608" i="3"/>
  <c r="Y608" i="3" s="1"/>
  <c r="T608" i="3"/>
  <c r="U608" i="3" s="1"/>
  <c r="V608" i="3" s="1"/>
  <c r="S608" i="3"/>
  <c r="B608" i="3"/>
  <c r="AS607" i="3"/>
  <c r="AH607" i="3"/>
  <c r="AA607" i="3"/>
  <c r="Y607" i="3" s="1"/>
  <c r="T607" i="3"/>
  <c r="U607" i="3" s="1"/>
  <c r="V607" i="3" s="1"/>
  <c r="S607" i="3"/>
  <c r="B607" i="3"/>
  <c r="AS606" i="3"/>
  <c r="AH606" i="3"/>
  <c r="AG606" i="3" s="1"/>
  <c r="U606" i="3" s="1"/>
  <c r="AA606" i="3"/>
  <c r="Y606" i="3" s="1"/>
  <c r="T606" i="3"/>
  <c r="S606" i="3"/>
  <c r="B606" i="3"/>
  <c r="AS605" i="3"/>
  <c r="AH605" i="3"/>
  <c r="AG605" i="3" s="1"/>
  <c r="U605" i="3" s="1"/>
  <c r="AA605" i="3"/>
  <c r="Y605" i="3" s="1"/>
  <c r="T605" i="3"/>
  <c r="S605" i="3"/>
  <c r="B605" i="3"/>
  <c r="AS604" i="3"/>
  <c r="AH604" i="3"/>
  <c r="AA604" i="3"/>
  <c r="Y604" i="3" s="1"/>
  <c r="U604" i="3" s="1"/>
  <c r="T604" i="3"/>
  <c r="S604" i="3"/>
  <c r="B604" i="3"/>
  <c r="AS603" i="3"/>
  <c r="AH603" i="3"/>
  <c r="AG603" i="3" s="1"/>
  <c r="U603" i="3" s="1"/>
  <c r="AA603" i="3"/>
  <c r="Y603" i="3" s="1"/>
  <c r="T603" i="3"/>
  <c r="S603" i="3"/>
  <c r="B603" i="3"/>
  <c r="AS602" i="3"/>
  <c r="AH602" i="3"/>
  <c r="AG602" i="3" s="1"/>
  <c r="U602" i="3" s="1"/>
  <c r="AA602" i="3"/>
  <c r="Y602" i="3" s="1"/>
  <c r="T602" i="3"/>
  <c r="S602" i="3"/>
  <c r="B602" i="3"/>
  <c r="AS601" i="3"/>
  <c r="AH601" i="3"/>
  <c r="AA601" i="3"/>
  <c r="Y601" i="3" s="1"/>
  <c r="U601" i="3" s="1"/>
  <c r="T601" i="3"/>
  <c r="S601" i="3"/>
  <c r="B601" i="3"/>
  <c r="AS600" i="3"/>
  <c r="AH600" i="3"/>
  <c r="AA600" i="3"/>
  <c r="Y600" i="3" s="1"/>
  <c r="U600" i="3" s="1"/>
  <c r="T600" i="3"/>
  <c r="S600" i="3"/>
  <c r="B600" i="3"/>
  <c r="AS599" i="3"/>
  <c r="AH599" i="3"/>
  <c r="AA599" i="3"/>
  <c r="Y599" i="3" s="1"/>
  <c r="U599" i="3" s="1"/>
  <c r="T599" i="3"/>
  <c r="S599" i="3"/>
  <c r="B599" i="3"/>
  <c r="AS598" i="3"/>
  <c r="AH598" i="3"/>
  <c r="AA598" i="3"/>
  <c r="Y598" i="3" s="1"/>
  <c r="U598" i="3" s="1"/>
  <c r="T598" i="3"/>
  <c r="S598" i="3"/>
  <c r="B598" i="3"/>
  <c r="AS597" i="3"/>
  <c r="AH597" i="3"/>
  <c r="AA597" i="3"/>
  <c r="Y597" i="3" s="1"/>
  <c r="U597" i="3" s="1"/>
  <c r="T597" i="3"/>
  <c r="S597" i="3"/>
  <c r="B597" i="3"/>
  <c r="AS596" i="3"/>
  <c r="AH596" i="3"/>
  <c r="AA596" i="3"/>
  <c r="Y596" i="3" s="1"/>
  <c r="U596" i="3" s="1"/>
  <c r="T596" i="3"/>
  <c r="S596" i="3"/>
  <c r="B596" i="3"/>
  <c r="AS595" i="3"/>
  <c r="AH595" i="3"/>
  <c r="AA595" i="3"/>
  <c r="Y595" i="3" s="1"/>
  <c r="U595" i="3" s="1"/>
  <c r="T595" i="3"/>
  <c r="S595" i="3"/>
  <c r="B595" i="3"/>
  <c r="AS594" i="3"/>
  <c r="AH594" i="3"/>
  <c r="AA594" i="3"/>
  <c r="Y594" i="3" s="1"/>
  <c r="U594" i="3" s="1"/>
  <c r="T594" i="3"/>
  <c r="S594" i="3"/>
  <c r="B594" i="3"/>
  <c r="AS593" i="3"/>
  <c r="AH593" i="3"/>
  <c r="AA593" i="3"/>
  <c r="Y593" i="3" s="1"/>
  <c r="U593" i="3" s="1"/>
  <c r="T593" i="3"/>
  <c r="S593" i="3"/>
  <c r="B593" i="3"/>
  <c r="AS592" i="3"/>
  <c r="AH592" i="3"/>
  <c r="AA592" i="3"/>
  <c r="Y592" i="3" s="1"/>
  <c r="U592" i="3" s="1"/>
  <c r="T592" i="3"/>
  <c r="S592" i="3"/>
  <c r="B592" i="3"/>
  <c r="AS591" i="3"/>
  <c r="AH591" i="3"/>
  <c r="AA591" i="3"/>
  <c r="Y591" i="3" s="1"/>
  <c r="U591" i="3" s="1"/>
  <c r="T591" i="3"/>
  <c r="S591" i="3"/>
  <c r="B591" i="3"/>
  <c r="AS590" i="3"/>
  <c r="AH590" i="3"/>
  <c r="AA590" i="3"/>
  <c r="Y590" i="3" s="1"/>
  <c r="U590" i="3" s="1"/>
  <c r="T590" i="3"/>
  <c r="S590" i="3"/>
  <c r="B590" i="3"/>
  <c r="AS589" i="3"/>
  <c r="AH589" i="3"/>
  <c r="AA589" i="3"/>
  <c r="Y589" i="3" s="1"/>
  <c r="U589" i="3" s="1"/>
  <c r="T589" i="3"/>
  <c r="S589" i="3"/>
  <c r="B589" i="3"/>
  <c r="AS588" i="3"/>
  <c r="AH588" i="3"/>
  <c r="AA588" i="3"/>
  <c r="Y588" i="3" s="1"/>
  <c r="U588" i="3" s="1"/>
  <c r="T588" i="3"/>
  <c r="S588" i="3"/>
  <c r="B588" i="3"/>
  <c r="AS587" i="3"/>
  <c r="AH587" i="3"/>
  <c r="AA587" i="3"/>
  <c r="Y587" i="3" s="1"/>
  <c r="U587" i="3" s="1"/>
  <c r="T587" i="3"/>
  <c r="S587" i="3"/>
  <c r="B587" i="3"/>
  <c r="AS586" i="3"/>
  <c r="AH586" i="3"/>
  <c r="AA586" i="3"/>
  <c r="Y586" i="3" s="1"/>
  <c r="U586" i="3" s="1"/>
  <c r="T586" i="3"/>
  <c r="S586" i="3"/>
  <c r="B586" i="3"/>
  <c r="AS585" i="3"/>
  <c r="AH585" i="3"/>
  <c r="AA585" i="3"/>
  <c r="Y585" i="3" s="1"/>
  <c r="T585" i="3"/>
  <c r="U585" i="3" s="1"/>
  <c r="V585" i="3" s="1"/>
  <c r="S585" i="3"/>
  <c r="B585" i="3"/>
  <c r="AS584" i="3"/>
  <c r="AH584" i="3"/>
  <c r="AA584" i="3"/>
  <c r="Y584" i="3" s="1"/>
  <c r="U584" i="3" s="1"/>
  <c r="T584" i="3"/>
  <c r="S584" i="3"/>
  <c r="B584" i="3"/>
  <c r="AS583" i="3"/>
  <c r="AH583" i="3"/>
  <c r="AA583" i="3"/>
  <c r="Y583" i="3" s="1"/>
  <c r="U583" i="3" s="1"/>
  <c r="T583" i="3"/>
  <c r="S583" i="3"/>
  <c r="B583" i="3"/>
  <c r="AS582" i="3"/>
  <c r="AH582" i="3"/>
  <c r="AA582" i="3"/>
  <c r="Y582" i="3" s="1"/>
  <c r="U582" i="3" s="1"/>
  <c r="T582" i="3"/>
  <c r="S582" i="3"/>
  <c r="B582" i="3"/>
  <c r="AS581" i="3"/>
  <c r="AH581" i="3"/>
  <c r="AA581" i="3"/>
  <c r="Y581" i="3" s="1"/>
  <c r="U581" i="3" s="1"/>
  <c r="T581" i="3"/>
  <c r="S581" i="3"/>
  <c r="B581" i="3"/>
  <c r="AS580" i="3"/>
  <c r="AR580" i="3" s="1"/>
  <c r="U580" i="3" s="1"/>
  <c r="AH580" i="3"/>
  <c r="AA580" i="3"/>
  <c r="Y580" i="3" s="1"/>
  <c r="T580" i="3"/>
  <c r="S580" i="3"/>
  <c r="B580" i="3"/>
  <c r="AS579" i="3"/>
  <c r="AR579" i="3" s="1"/>
  <c r="U579" i="3" s="1"/>
  <c r="AH579" i="3"/>
  <c r="AA579" i="3"/>
  <c r="Y579" i="3" s="1"/>
  <c r="T579" i="3"/>
  <c r="S579" i="3"/>
  <c r="B579" i="3"/>
  <c r="AS578" i="3"/>
  <c r="AH578" i="3"/>
  <c r="AA578" i="3"/>
  <c r="Y578" i="3" s="1"/>
  <c r="U578" i="3" s="1"/>
  <c r="T578" i="3"/>
  <c r="S578" i="3"/>
  <c r="B578" i="3"/>
  <c r="AS577" i="3"/>
  <c r="AH577" i="3"/>
  <c r="AA577" i="3"/>
  <c r="Y577" i="3" s="1"/>
  <c r="U577" i="3" s="1"/>
  <c r="T577" i="3"/>
  <c r="S577" i="3"/>
  <c r="B577" i="3"/>
  <c r="AS576" i="3"/>
  <c r="AH576" i="3"/>
  <c r="AG576" i="3" s="1"/>
  <c r="U576" i="3" s="1"/>
  <c r="AA576" i="3"/>
  <c r="Y576" i="3" s="1"/>
  <c r="T576" i="3"/>
  <c r="S576" i="3"/>
  <c r="B576" i="3"/>
  <c r="AS575" i="3"/>
  <c r="AH575" i="3"/>
  <c r="AA575" i="3"/>
  <c r="Y575" i="3" s="1"/>
  <c r="U575" i="3" s="1"/>
  <c r="T575" i="3"/>
  <c r="S575" i="3"/>
  <c r="B575" i="3"/>
  <c r="AS574" i="3"/>
  <c r="AH574" i="3"/>
  <c r="AA574" i="3"/>
  <c r="Y574" i="3" s="1"/>
  <c r="U574" i="3" s="1"/>
  <c r="T574" i="3"/>
  <c r="S574" i="3"/>
  <c r="B574" i="3"/>
  <c r="AS573" i="3"/>
  <c r="AH573" i="3"/>
  <c r="AA573" i="3"/>
  <c r="Y573" i="3" s="1"/>
  <c r="U573" i="3" s="1"/>
  <c r="T573" i="3"/>
  <c r="S573" i="3"/>
  <c r="B573" i="3"/>
  <c r="AS572" i="3"/>
  <c r="AH572" i="3"/>
  <c r="AA572" i="3"/>
  <c r="Y572" i="3" s="1"/>
  <c r="U572" i="3" s="1"/>
  <c r="T572" i="3"/>
  <c r="S572" i="3"/>
  <c r="B572" i="3"/>
  <c r="AS571" i="3"/>
  <c r="AH571" i="3"/>
  <c r="AG571" i="3" s="1"/>
  <c r="U571" i="3" s="1"/>
  <c r="AA571" i="3"/>
  <c r="Y571" i="3" s="1"/>
  <c r="T571" i="3"/>
  <c r="S571" i="3"/>
  <c r="B571" i="3"/>
  <c r="AS570" i="3"/>
  <c r="AH570" i="3"/>
  <c r="AA570" i="3"/>
  <c r="Y570" i="3" s="1"/>
  <c r="T570" i="3"/>
  <c r="U570" i="3" s="1"/>
  <c r="V570" i="3" s="1"/>
  <c r="S570" i="3"/>
  <c r="B570" i="3"/>
  <c r="AS569" i="3"/>
  <c r="AH569" i="3"/>
  <c r="AA569" i="3"/>
  <c r="Y569" i="3" s="1"/>
  <c r="U569" i="3" s="1"/>
  <c r="T569" i="3"/>
  <c r="S569" i="3"/>
  <c r="B569" i="3"/>
  <c r="AS568" i="3"/>
  <c r="AR568" i="3" s="1"/>
  <c r="U568" i="3" s="1"/>
  <c r="AH568" i="3"/>
  <c r="AA568" i="3"/>
  <c r="Y568" i="3" s="1"/>
  <c r="T568" i="3"/>
  <c r="S568" i="3"/>
  <c r="B568" i="3"/>
  <c r="AS567" i="3"/>
  <c r="AH567" i="3"/>
  <c r="AA567" i="3"/>
  <c r="Y567" i="3" s="1"/>
  <c r="U567" i="3" s="1"/>
  <c r="T567" i="3"/>
  <c r="S567" i="3"/>
  <c r="B567" i="3"/>
  <c r="AS566" i="3"/>
  <c r="AH566" i="3"/>
  <c r="AA566" i="3"/>
  <c r="Y566" i="3" s="1"/>
  <c r="U566" i="3" s="1"/>
  <c r="T566" i="3"/>
  <c r="S566" i="3"/>
  <c r="B566" i="3"/>
  <c r="AS565" i="3"/>
  <c r="AH565" i="3"/>
  <c r="AA565" i="3"/>
  <c r="Y565" i="3" s="1"/>
  <c r="U565" i="3" s="1"/>
  <c r="T565" i="3"/>
  <c r="S565" i="3"/>
  <c r="B565" i="3"/>
  <c r="AS564" i="3"/>
  <c r="AH564" i="3"/>
  <c r="AA564" i="3"/>
  <c r="Y564" i="3" s="1"/>
  <c r="U564" i="3" s="1"/>
  <c r="T564" i="3"/>
  <c r="S564" i="3"/>
  <c r="B564" i="3"/>
  <c r="AS563" i="3"/>
  <c r="AH563" i="3"/>
  <c r="AA563" i="3"/>
  <c r="Y563" i="3" s="1"/>
  <c r="U563" i="3" s="1"/>
  <c r="T563" i="3"/>
  <c r="S563" i="3"/>
  <c r="B563" i="3"/>
  <c r="AS562" i="3"/>
  <c r="AH562" i="3"/>
  <c r="AA562" i="3"/>
  <c r="Y562" i="3" s="1"/>
  <c r="U562" i="3" s="1"/>
  <c r="T562" i="3"/>
  <c r="S562" i="3"/>
  <c r="B562" i="3"/>
  <c r="AS561" i="3"/>
  <c r="AH561" i="3"/>
  <c r="AA561" i="3"/>
  <c r="Y561" i="3" s="1"/>
  <c r="U561" i="3" s="1"/>
  <c r="T561" i="3"/>
  <c r="S561" i="3"/>
  <c r="B561" i="3"/>
  <c r="AS560" i="3"/>
  <c r="AH560" i="3"/>
  <c r="AA560" i="3"/>
  <c r="Y560" i="3" s="1"/>
  <c r="U560" i="3" s="1"/>
  <c r="T560" i="3"/>
  <c r="S560" i="3"/>
  <c r="B560" i="3"/>
  <c r="AS559" i="3"/>
  <c r="AH559" i="3"/>
  <c r="AA559" i="3"/>
  <c r="Y559" i="3" s="1"/>
  <c r="U559" i="3" s="1"/>
  <c r="T559" i="3"/>
  <c r="S559" i="3"/>
  <c r="B559" i="3"/>
  <c r="AS558" i="3"/>
  <c r="AH558" i="3"/>
  <c r="AA558" i="3"/>
  <c r="Y558" i="3" s="1"/>
  <c r="U558" i="3" s="1"/>
  <c r="T558" i="3"/>
  <c r="S558" i="3"/>
  <c r="B558" i="3"/>
  <c r="AS557" i="3"/>
  <c r="AH557" i="3"/>
  <c r="AA557" i="3"/>
  <c r="Y557" i="3" s="1"/>
  <c r="U557" i="3" s="1"/>
  <c r="T557" i="3"/>
  <c r="S557" i="3"/>
  <c r="B557" i="3"/>
  <c r="AS556" i="3"/>
  <c r="AH556" i="3"/>
  <c r="AA556" i="3"/>
  <c r="Y556" i="3" s="1"/>
  <c r="U556" i="3" s="1"/>
  <c r="T556" i="3"/>
  <c r="S556" i="3"/>
  <c r="B556" i="3"/>
  <c r="AS555" i="3"/>
  <c r="AH555" i="3"/>
  <c r="AA555" i="3"/>
  <c r="Y555" i="3" s="1"/>
  <c r="U555" i="3" s="1"/>
  <c r="T555" i="3"/>
  <c r="S555" i="3"/>
  <c r="B555" i="3"/>
  <c r="AS554" i="3"/>
  <c r="AR554" i="3" s="1"/>
  <c r="AH554" i="3"/>
  <c r="AA554" i="3"/>
  <c r="Y554" i="3" s="1"/>
  <c r="T554" i="3"/>
  <c r="U554" i="3" s="1"/>
  <c r="V554" i="3" s="1"/>
  <c r="S554" i="3"/>
  <c r="B554" i="3"/>
  <c r="AS553" i="3"/>
  <c r="AH553" i="3"/>
  <c r="AA553" i="3"/>
  <c r="Y553" i="3" s="1"/>
  <c r="U553" i="3" s="1"/>
  <c r="T553" i="3"/>
  <c r="S553" i="3"/>
  <c r="B553" i="3"/>
  <c r="AS552" i="3"/>
  <c r="AH552" i="3"/>
  <c r="AA552" i="3"/>
  <c r="Y552" i="3" s="1"/>
  <c r="U552" i="3" s="1"/>
  <c r="T552" i="3"/>
  <c r="S552" i="3"/>
  <c r="B552" i="3"/>
  <c r="AS551" i="3"/>
  <c r="AR551" i="3" s="1"/>
  <c r="U551" i="3" s="1"/>
  <c r="AH551" i="3"/>
  <c r="AA551" i="3"/>
  <c r="Y551" i="3" s="1"/>
  <c r="T551" i="3"/>
  <c r="S551" i="3"/>
  <c r="B551" i="3"/>
  <c r="AS550" i="3"/>
  <c r="AR550" i="3" s="1"/>
  <c r="U550" i="3" s="1"/>
  <c r="AH550" i="3"/>
  <c r="AA550" i="3"/>
  <c r="Y550" i="3" s="1"/>
  <c r="T550" i="3"/>
  <c r="S550" i="3"/>
  <c r="B550" i="3"/>
  <c r="AS549" i="3"/>
  <c r="AH549" i="3"/>
  <c r="AA549" i="3"/>
  <c r="Y549" i="3" s="1"/>
  <c r="U549" i="3" s="1"/>
  <c r="T549" i="3"/>
  <c r="S549" i="3"/>
  <c r="B549" i="3"/>
  <c r="AS548" i="3"/>
  <c r="AH548" i="3"/>
  <c r="AA548" i="3"/>
  <c r="Y548" i="3" s="1"/>
  <c r="U548" i="3" s="1"/>
  <c r="T548" i="3"/>
  <c r="S548" i="3"/>
  <c r="B548" i="3"/>
  <c r="AS547" i="3"/>
  <c r="AH547" i="3"/>
  <c r="AA547" i="3"/>
  <c r="Y547" i="3" s="1"/>
  <c r="U547" i="3" s="1"/>
  <c r="T547" i="3"/>
  <c r="S547" i="3"/>
  <c r="B547" i="3"/>
  <c r="AS546" i="3"/>
  <c r="AH546" i="3"/>
  <c r="AA546" i="3"/>
  <c r="Y546" i="3" s="1"/>
  <c r="U546" i="3" s="1"/>
  <c r="T546" i="3"/>
  <c r="S546" i="3"/>
  <c r="B546" i="3"/>
  <c r="AS545" i="3"/>
  <c r="AH545" i="3"/>
  <c r="AA545" i="3"/>
  <c r="R545" i="3"/>
  <c r="Q545" i="3"/>
  <c r="L545" i="3"/>
  <c r="K545" i="3"/>
  <c r="J545" i="3"/>
  <c r="I545" i="3"/>
  <c r="T545" i="3" s="1"/>
  <c r="AS544" i="3"/>
  <c r="AH544" i="3"/>
  <c r="AA544" i="3"/>
  <c r="AS543" i="3"/>
  <c r="AH543" i="3"/>
  <c r="AA543" i="3"/>
  <c r="Y543" i="3" s="1"/>
  <c r="U543" i="3" s="1"/>
  <c r="T543" i="3"/>
  <c r="S543" i="3"/>
  <c r="S542" i="3" s="1"/>
  <c r="B543" i="3"/>
  <c r="AS542" i="3"/>
  <c r="AH542" i="3"/>
  <c r="AA542" i="3"/>
  <c r="R542" i="3"/>
  <c r="Q542" i="3"/>
  <c r="L542" i="3"/>
  <c r="K542" i="3"/>
  <c r="J542" i="3"/>
  <c r="I542" i="3"/>
  <c r="T542" i="3" s="1"/>
  <c r="AS541" i="3"/>
  <c r="AH541" i="3"/>
  <c r="AA541" i="3"/>
  <c r="Y541" i="3" s="1"/>
  <c r="T541" i="3"/>
  <c r="V541" i="3" s="1"/>
  <c r="S541" i="3"/>
  <c r="B541" i="3"/>
  <c r="AS540" i="3"/>
  <c r="AH540" i="3"/>
  <c r="AG540" i="3" s="1"/>
  <c r="U540" i="3" s="1"/>
  <c r="U538" i="3" s="1"/>
  <c r="AA540" i="3"/>
  <c r="Y540" i="3" s="1"/>
  <c r="T540" i="3"/>
  <c r="S540" i="3"/>
  <c r="B540" i="3"/>
  <c r="AS539" i="3"/>
  <c r="AH539" i="3"/>
  <c r="AA539" i="3"/>
  <c r="Y539" i="3" s="1"/>
  <c r="T539" i="3"/>
  <c r="V539" i="3" s="1"/>
  <c r="S539" i="3"/>
  <c r="B539" i="3"/>
  <c r="AS538" i="3"/>
  <c r="AH538" i="3"/>
  <c r="AA538" i="3"/>
  <c r="R538" i="3"/>
  <c r="Q538" i="3"/>
  <c r="L538" i="3"/>
  <c r="K538" i="3"/>
  <c r="J538" i="3"/>
  <c r="I538" i="3"/>
  <c r="AS537" i="3"/>
  <c r="AH537" i="3"/>
  <c r="AA537" i="3"/>
  <c r="Y537" i="3" s="1"/>
  <c r="T537" i="3"/>
  <c r="V537" i="3" s="1"/>
  <c r="S537" i="3"/>
  <c r="B537" i="3"/>
  <c r="AS536" i="3"/>
  <c r="AH536" i="3"/>
  <c r="AA536" i="3"/>
  <c r="Y536" i="3" s="1"/>
  <c r="T536" i="3"/>
  <c r="U536" i="3" s="1"/>
  <c r="V536" i="3" s="1"/>
  <c r="S536" i="3"/>
  <c r="B536" i="3"/>
  <c r="AS535" i="3"/>
  <c r="AH535" i="3"/>
  <c r="AA535" i="3"/>
  <c r="Y535" i="3" s="1"/>
  <c r="T535" i="3"/>
  <c r="V535" i="3" s="1"/>
  <c r="S535" i="3"/>
  <c r="B535" i="3"/>
  <c r="AS534" i="3"/>
  <c r="AH534" i="3"/>
  <c r="AA534" i="3"/>
  <c r="Y534" i="3" s="1"/>
  <c r="T534" i="3"/>
  <c r="U534" i="3" s="1"/>
  <c r="S534" i="3"/>
  <c r="B534" i="3"/>
  <c r="AS533" i="3"/>
  <c r="AH533" i="3"/>
  <c r="AA533" i="3"/>
  <c r="Y533" i="3" s="1"/>
  <c r="T533" i="3"/>
  <c r="V533" i="3" s="1"/>
  <c r="S533" i="3"/>
  <c r="B533" i="3"/>
  <c r="AS532" i="3"/>
  <c r="AH532" i="3"/>
  <c r="AA532" i="3"/>
  <c r="R532" i="3"/>
  <c r="Q532" i="3"/>
  <c r="L532" i="3"/>
  <c r="K532" i="3"/>
  <c r="J532" i="3"/>
  <c r="I532" i="3"/>
  <c r="AS531" i="3"/>
  <c r="AH531" i="3"/>
  <c r="AA531" i="3"/>
  <c r="Y531" i="3" s="1"/>
  <c r="T531" i="3"/>
  <c r="V531" i="3" s="1"/>
  <c r="S531" i="3"/>
  <c r="K531" i="3"/>
  <c r="B531" i="3"/>
  <c r="AS530" i="3"/>
  <c r="AH530" i="3"/>
  <c r="AA530" i="3"/>
  <c r="Y530" i="3" s="1"/>
  <c r="T530" i="3"/>
  <c r="V530" i="3" s="1"/>
  <c r="S530" i="3"/>
  <c r="K530" i="3"/>
  <c r="B530" i="3"/>
  <c r="AS529" i="3"/>
  <c r="AH529" i="3"/>
  <c r="AA529" i="3"/>
  <c r="Y529" i="3" s="1"/>
  <c r="T529" i="3"/>
  <c r="V529" i="3" s="1"/>
  <c r="S529" i="3"/>
  <c r="B529" i="3"/>
  <c r="AS528" i="3"/>
  <c r="AH528" i="3"/>
  <c r="AA528" i="3"/>
  <c r="Y528" i="3" s="1"/>
  <c r="T528" i="3"/>
  <c r="V528" i="3" s="1"/>
  <c r="S528" i="3"/>
  <c r="B528" i="3"/>
  <c r="AS527" i="3"/>
  <c r="AH527" i="3"/>
  <c r="AA527" i="3"/>
  <c r="Y527" i="3" s="1"/>
  <c r="T527" i="3"/>
  <c r="V527" i="3" s="1"/>
  <c r="S527" i="3"/>
  <c r="B527" i="3"/>
  <c r="AS526" i="3"/>
  <c r="AH526" i="3"/>
  <c r="AA526" i="3"/>
  <c r="Y526" i="3" s="1"/>
  <c r="T526" i="3"/>
  <c r="V526" i="3" s="1"/>
  <c r="S526" i="3"/>
  <c r="B526" i="3"/>
  <c r="AS525" i="3"/>
  <c r="AH525" i="3"/>
  <c r="AA525" i="3"/>
  <c r="Y525" i="3" s="1"/>
  <c r="T525" i="3"/>
  <c r="V525" i="3" s="1"/>
  <c r="S525" i="3"/>
  <c r="B525" i="3"/>
  <c r="AS524" i="3"/>
  <c r="AH524" i="3"/>
  <c r="AA524" i="3"/>
  <c r="Y524" i="3" s="1"/>
  <c r="T524" i="3"/>
  <c r="U524" i="3" s="1"/>
  <c r="S524" i="3"/>
  <c r="B524" i="3"/>
  <c r="AS523" i="3"/>
  <c r="AH523" i="3"/>
  <c r="AA523" i="3"/>
  <c r="R523" i="3"/>
  <c r="Q523" i="3"/>
  <c r="L523" i="3"/>
  <c r="J523" i="3"/>
  <c r="I523" i="3"/>
  <c r="T523" i="3" s="1"/>
  <c r="AS522" i="3"/>
  <c r="AH522" i="3"/>
  <c r="AA522" i="3"/>
  <c r="Y522" i="3" s="1"/>
  <c r="T522" i="3"/>
  <c r="U522" i="3" s="1"/>
  <c r="V522" i="3" s="1"/>
  <c r="S522" i="3"/>
  <c r="S521" i="3" s="1"/>
  <c r="B522" i="3"/>
  <c r="AS521" i="3"/>
  <c r="AH521" i="3"/>
  <c r="AA521" i="3"/>
  <c r="R521" i="3"/>
  <c r="Q521" i="3"/>
  <c r="L521" i="3"/>
  <c r="K521" i="3"/>
  <c r="J521" i="3"/>
  <c r="I521" i="3"/>
  <c r="AS520" i="3"/>
  <c r="AH520" i="3"/>
  <c r="AG520" i="3" s="1"/>
  <c r="U520" i="3" s="1"/>
  <c r="AA520" i="3"/>
  <c r="Y520" i="3" s="1"/>
  <c r="T520" i="3"/>
  <c r="S520" i="3"/>
  <c r="B520" i="3"/>
  <c r="AS519" i="3"/>
  <c r="AH519" i="3"/>
  <c r="AA519" i="3"/>
  <c r="Y519" i="3" s="1"/>
  <c r="T519" i="3"/>
  <c r="U519" i="3" s="1"/>
  <c r="S519" i="3"/>
  <c r="B519" i="3"/>
  <c r="AS518" i="3"/>
  <c r="AH518" i="3"/>
  <c r="AA518" i="3"/>
  <c r="R518" i="3"/>
  <c r="Q518" i="3"/>
  <c r="L518" i="3"/>
  <c r="K518" i="3"/>
  <c r="J518" i="3"/>
  <c r="I518" i="3"/>
  <c r="T518" i="3" s="1"/>
  <c r="AS517" i="3"/>
  <c r="AH517" i="3"/>
  <c r="AA517" i="3"/>
  <c r="Y517" i="3" s="1"/>
  <c r="U517" i="3" s="1"/>
  <c r="T517" i="3"/>
  <c r="S517" i="3"/>
  <c r="S516" i="3" s="1"/>
  <c r="B517" i="3"/>
  <c r="AS516" i="3"/>
  <c r="AH516" i="3"/>
  <c r="AA516" i="3"/>
  <c r="R516" i="3"/>
  <c r="Q516" i="3"/>
  <c r="L516" i="3"/>
  <c r="K516" i="3"/>
  <c r="J516" i="3"/>
  <c r="I516" i="3"/>
  <c r="AS515" i="3"/>
  <c r="AH515" i="3"/>
  <c r="AA515" i="3"/>
  <c r="Y515" i="3" s="1"/>
  <c r="T515" i="3"/>
  <c r="U515" i="3" s="1"/>
  <c r="V515" i="3" s="1"/>
  <c r="S515" i="3"/>
  <c r="B515" i="3"/>
  <c r="AS514" i="3"/>
  <c r="AH514" i="3"/>
  <c r="AA514" i="3"/>
  <c r="Y514" i="3" s="1"/>
  <c r="T514" i="3"/>
  <c r="U514" i="3" s="1"/>
  <c r="V514" i="3" s="1"/>
  <c r="S514" i="3"/>
  <c r="B514" i="3"/>
  <c r="AS513" i="3"/>
  <c r="AH513" i="3"/>
  <c r="AA513" i="3"/>
  <c r="Y513" i="3" s="1"/>
  <c r="U513" i="3" s="1"/>
  <c r="T513" i="3"/>
  <c r="S513" i="3"/>
  <c r="B513" i="3"/>
  <c r="AS512" i="3"/>
  <c r="AH512" i="3"/>
  <c r="AA512" i="3"/>
  <c r="Y512" i="3" s="1"/>
  <c r="U512" i="3" s="1"/>
  <c r="T512" i="3"/>
  <c r="S512" i="3"/>
  <c r="B512" i="3"/>
  <c r="AS511" i="3"/>
  <c r="AH511" i="3"/>
  <c r="AA511" i="3"/>
  <c r="Y511" i="3" s="1"/>
  <c r="U511" i="3" s="1"/>
  <c r="T511" i="3"/>
  <c r="S511" i="3"/>
  <c r="B511" i="3"/>
  <c r="AS510" i="3"/>
  <c r="AH510" i="3"/>
  <c r="AA510" i="3"/>
  <c r="Y510" i="3" s="1"/>
  <c r="T510" i="3"/>
  <c r="U510" i="3" s="1"/>
  <c r="S510" i="3"/>
  <c r="B510" i="3"/>
  <c r="AS509" i="3"/>
  <c r="AH509" i="3"/>
  <c r="AA509" i="3"/>
  <c r="R509" i="3"/>
  <c r="Q509" i="3"/>
  <c r="L509" i="3"/>
  <c r="K509" i="3"/>
  <c r="J509" i="3"/>
  <c r="I509" i="3"/>
  <c r="AS508" i="3"/>
  <c r="AH508" i="3"/>
  <c r="AA508" i="3"/>
  <c r="Y508" i="3" s="1"/>
  <c r="T508" i="3"/>
  <c r="V508" i="3" s="1"/>
  <c r="S508" i="3"/>
  <c r="S507" i="3" s="1"/>
  <c r="B508" i="3"/>
  <c r="AS507" i="3"/>
  <c r="AH507" i="3"/>
  <c r="AA507" i="3"/>
  <c r="U507" i="3"/>
  <c r="R507" i="3"/>
  <c r="Q507" i="3"/>
  <c r="L507" i="3"/>
  <c r="K507" i="3"/>
  <c r="J507" i="3"/>
  <c r="I507" i="3"/>
  <c r="T507" i="3" s="1"/>
  <c r="AS506" i="3"/>
  <c r="AH506" i="3"/>
  <c r="AA506" i="3"/>
  <c r="Y506" i="3" s="1"/>
  <c r="T506" i="3"/>
  <c r="U506" i="3" s="1"/>
  <c r="V506" i="3" s="1"/>
  <c r="S506" i="3"/>
  <c r="S505" i="3" s="1"/>
  <c r="B506" i="3"/>
  <c r="AS505" i="3"/>
  <c r="AH505" i="3"/>
  <c r="AA505" i="3"/>
  <c r="R505" i="3"/>
  <c r="Q505" i="3"/>
  <c r="L505" i="3"/>
  <c r="K505" i="3"/>
  <c r="J505" i="3"/>
  <c r="I505" i="3"/>
  <c r="T505" i="3" s="1"/>
  <c r="U505" i="3" s="1"/>
  <c r="V505" i="3" s="1"/>
  <c r="AS504" i="3"/>
  <c r="AH504" i="3"/>
  <c r="AA504" i="3"/>
  <c r="Y504" i="3" s="1"/>
  <c r="T504" i="3"/>
  <c r="U504" i="3" s="1"/>
  <c r="V504" i="3" s="1"/>
  <c r="S504" i="3"/>
  <c r="K504" i="3"/>
  <c r="K502" i="3" s="1"/>
  <c r="B504" i="3"/>
  <c r="AS503" i="3"/>
  <c r="AH503" i="3"/>
  <c r="AA503" i="3"/>
  <c r="Y503" i="3" s="1"/>
  <c r="U503" i="3" s="1"/>
  <c r="T503" i="3"/>
  <c r="S503" i="3"/>
  <c r="B503" i="3"/>
  <c r="AS502" i="3"/>
  <c r="AH502" i="3"/>
  <c r="AA502" i="3"/>
  <c r="R502" i="3"/>
  <c r="Q502" i="3"/>
  <c r="L502" i="3"/>
  <c r="J502" i="3"/>
  <c r="I502" i="3"/>
  <c r="T502" i="3" s="1"/>
  <c r="AS501" i="3"/>
  <c r="AH501" i="3"/>
  <c r="AA501" i="3"/>
  <c r="Y501" i="3" s="1"/>
  <c r="U501" i="3" s="1"/>
  <c r="T501" i="3"/>
  <c r="S501" i="3"/>
  <c r="S500" i="3" s="1"/>
  <c r="B501" i="3"/>
  <c r="AS500" i="3"/>
  <c r="AH500" i="3"/>
  <c r="AA500" i="3"/>
  <c r="R500" i="3"/>
  <c r="Q500" i="3"/>
  <c r="L500" i="3"/>
  <c r="K500" i="3"/>
  <c r="J500" i="3"/>
  <c r="I500" i="3"/>
  <c r="T500" i="3" s="1"/>
  <c r="AS499" i="3"/>
  <c r="AH499" i="3"/>
  <c r="AA499" i="3"/>
  <c r="Y499" i="3" s="1"/>
  <c r="U499" i="3" s="1"/>
  <c r="U498" i="3" s="1"/>
  <c r="T499" i="3"/>
  <c r="S499" i="3"/>
  <c r="S498" i="3" s="1"/>
  <c r="B499" i="3"/>
  <c r="AS498" i="3"/>
  <c r="AH498" i="3"/>
  <c r="AA498" i="3"/>
  <c r="R498" i="3"/>
  <c r="Q498" i="3"/>
  <c r="L498" i="3"/>
  <c r="K498" i="3"/>
  <c r="J498" i="3"/>
  <c r="I498" i="3"/>
  <c r="AS497" i="3"/>
  <c r="AH497" i="3"/>
  <c r="AA497" i="3"/>
  <c r="Y497" i="3" s="1"/>
  <c r="U497" i="3" s="1"/>
  <c r="T497" i="3"/>
  <c r="S497" i="3"/>
  <c r="B497" i="3"/>
  <c r="AS496" i="3"/>
  <c r="AH496" i="3"/>
  <c r="AG496" i="3" s="1"/>
  <c r="U496" i="3" s="1"/>
  <c r="AA496" i="3"/>
  <c r="Y496" i="3" s="1"/>
  <c r="T496" i="3"/>
  <c r="S496" i="3"/>
  <c r="B496" i="3"/>
  <c r="AS495" i="3"/>
  <c r="AH495" i="3"/>
  <c r="AG495" i="3" s="1"/>
  <c r="U495" i="3" s="1"/>
  <c r="AA495" i="3"/>
  <c r="Y495" i="3" s="1"/>
  <c r="T495" i="3"/>
  <c r="S495" i="3"/>
  <c r="B495" i="3"/>
  <c r="AS494" i="3"/>
  <c r="AH494" i="3"/>
  <c r="AG494" i="3" s="1"/>
  <c r="AA494" i="3"/>
  <c r="Y494" i="3" s="1"/>
  <c r="T494" i="3"/>
  <c r="U494" i="3" s="1"/>
  <c r="V494" i="3" s="1"/>
  <c r="S494" i="3"/>
  <c r="B494" i="3"/>
  <c r="AS493" i="3"/>
  <c r="AH493" i="3"/>
  <c r="AA493" i="3"/>
  <c r="Y493" i="3" s="1"/>
  <c r="T493" i="3"/>
  <c r="U493" i="3" s="1"/>
  <c r="S493" i="3"/>
  <c r="B493" i="3"/>
  <c r="AS492" i="3"/>
  <c r="AH492" i="3"/>
  <c r="AA492" i="3"/>
  <c r="R492" i="3"/>
  <c r="Q492" i="3"/>
  <c r="L492" i="3"/>
  <c r="K492" i="3"/>
  <c r="J492" i="3"/>
  <c r="I492" i="3"/>
  <c r="T492" i="3" s="1"/>
  <c r="AS491" i="3"/>
  <c r="AH491" i="3"/>
  <c r="AG491" i="3" s="1"/>
  <c r="U491" i="3" s="1"/>
  <c r="U490" i="3" s="1"/>
  <c r="AA491" i="3"/>
  <c r="Y491" i="3" s="1"/>
  <c r="T491" i="3"/>
  <c r="S491" i="3"/>
  <c r="S490" i="3" s="1"/>
  <c r="K491" i="3"/>
  <c r="K490" i="3" s="1"/>
  <c r="B491" i="3"/>
  <c r="AS490" i="3"/>
  <c r="AH490" i="3"/>
  <c r="AA490" i="3"/>
  <c r="R490" i="3"/>
  <c r="Q490" i="3"/>
  <c r="L490" i="3"/>
  <c r="J490" i="3"/>
  <c r="I490" i="3"/>
  <c r="T490" i="3" s="1"/>
  <c r="AS489" i="3"/>
  <c r="AH489" i="3"/>
  <c r="AA489" i="3"/>
  <c r="Y489" i="3" s="1"/>
  <c r="U489" i="3" s="1"/>
  <c r="U488" i="3" s="1"/>
  <c r="T489" i="3"/>
  <c r="S489" i="3"/>
  <c r="S488" i="3" s="1"/>
  <c r="B489" i="3"/>
  <c r="AS488" i="3"/>
  <c r="AH488" i="3"/>
  <c r="AA488" i="3"/>
  <c r="R488" i="3"/>
  <c r="Q488" i="3"/>
  <c r="L488" i="3"/>
  <c r="K488" i="3"/>
  <c r="J488" i="3"/>
  <c r="I488" i="3"/>
  <c r="T488" i="3" s="1"/>
  <c r="AS487" i="3"/>
  <c r="AH487" i="3"/>
  <c r="AA487" i="3"/>
  <c r="Y487" i="3" s="1"/>
  <c r="T487" i="3"/>
  <c r="V487" i="3" s="1"/>
  <c r="S487" i="3"/>
  <c r="B487" i="3"/>
  <c r="AS486" i="3"/>
  <c r="AH486" i="3"/>
  <c r="AA486" i="3"/>
  <c r="Y486" i="3" s="1"/>
  <c r="T486" i="3"/>
  <c r="V486" i="3" s="1"/>
  <c r="S486" i="3"/>
  <c r="B486" i="3"/>
  <c r="AS485" i="3"/>
  <c r="AH485" i="3"/>
  <c r="AA485" i="3"/>
  <c r="Y485" i="3" s="1"/>
  <c r="U485" i="3" s="1"/>
  <c r="T485" i="3"/>
  <c r="S485" i="3"/>
  <c r="B485" i="3"/>
  <c r="AS484" i="3"/>
  <c r="AH484" i="3"/>
  <c r="AA484" i="3"/>
  <c r="Y484" i="3" s="1"/>
  <c r="T484" i="3"/>
  <c r="U484" i="3" s="1"/>
  <c r="V484" i="3" s="1"/>
  <c r="S484" i="3"/>
  <c r="B484" i="3"/>
  <c r="AS483" i="3"/>
  <c r="AH483" i="3"/>
  <c r="AA483" i="3"/>
  <c r="Y483" i="3" s="1"/>
  <c r="U483" i="3" s="1"/>
  <c r="T483" i="3"/>
  <c r="S483" i="3"/>
  <c r="B483" i="3"/>
  <c r="AS482" i="3"/>
  <c r="AH482" i="3"/>
  <c r="AA482" i="3"/>
  <c r="Y482" i="3" s="1"/>
  <c r="U482" i="3" s="1"/>
  <c r="T482" i="3"/>
  <c r="S482" i="3"/>
  <c r="B482" i="3"/>
  <c r="AS481" i="3"/>
  <c r="AH481" i="3"/>
  <c r="AA481" i="3"/>
  <c r="Y481" i="3" s="1"/>
  <c r="U481" i="3" s="1"/>
  <c r="T481" i="3"/>
  <c r="S481" i="3"/>
  <c r="B481" i="3"/>
  <c r="AS480" i="3"/>
  <c r="AH480" i="3"/>
  <c r="AA480" i="3"/>
  <c r="Y480" i="3" s="1"/>
  <c r="T480" i="3"/>
  <c r="U480" i="3" s="1"/>
  <c r="S480" i="3"/>
  <c r="B480" i="3"/>
  <c r="AS479" i="3"/>
  <c r="AH479" i="3"/>
  <c r="AA479" i="3"/>
  <c r="R479" i="3"/>
  <c r="Q479" i="3"/>
  <c r="L479" i="3"/>
  <c r="K479" i="3"/>
  <c r="J479" i="3"/>
  <c r="I479" i="3"/>
  <c r="T479" i="3" s="1"/>
  <c r="AS478" i="3"/>
  <c r="AH478" i="3"/>
  <c r="AA478" i="3"/>
  <c r="Y478" i="3" s="1"/>
  <c r="T478" i="3"/>
  <c r="U478" i="3" s="1"/>
  <c r="V478" i="3" s="1"/>
  <c r="S478" i="3"/>
  <c r="B478" i="3"/>
  <c r="AS477" i="3"/>
  <c r="AH477" i="3"/>
  <c r="AA477" i="3"/>
  <c r="Y477" i="3" s="1"/>
  <c r="T477" i="3"/>
  <c r="U477" i="3" s="1"/>
  <c r="V477" i="3" s="1"/>
  <c r="S477" i="3"/>
  <c r="B477" i="3"/>
  <c r="AS476" i="3"/>
  <c r="AH476" i="3"/>
  <c r="AA476" i="3"/>
  <c r="Y476" i="3" s="1"/>
  <c r="T476" i="3"/>
  <c r="U476" i="3" s="1"/>
  <c r="V476" i="3" s="1"/>
  <c r="S476" i="3"/>
  <c r="K476" i="3"/>
  <c r="K467" i="3" s="1"/>
  <c r="B476" i="3"/>
  <c r="AS475" i="3"/>
  <c r="AH475" i="3"/>
  <c r="AA475" i="3"/>
  <c r="Y475" i="3" s="1"/>
  <c r="U475" i="3" s="1"/>
  <c r="T475" i="3"/>
  <c r="S475" i="3"/>
  <c r="B475" i="3"/>
  <c r="AS474" i="3"/>
  <c r="AH474" i="3"/>
  <c r="AA474" i="3"/>
  <c r="Y474" i="3" s="1"/>
  <c r="T474" i="3"/>
  <c r="U474" i="3" s="1"/>
  <c r="V474" i="3" s="1"/>
  <c r="S474" i="3"/>
  <c r="B474" i="3"/>
  <c r="AS473" i="3"/>
  <c r="AH473" i="3"/>
  <c r="AA473" i="3"/>
  <c r="Y473" i="3" s="1"/>
  <c r="T473" i="3"/>
  <c r="V473" i="3" s="1"/>
  <c r="S473" i="3"/>
  <c r="B473" i="3"/>
  <c r="AS472" i="3"/>
  <c r="AH472" i="3"/>
  <c r="AA472" i="3"/>
  <c r="Y472" i="3" s="1"/>
  <c r="T472" i="3"/>
  <c r="V472" i="3" s="1"/>
  <c r="S472" i="3"/>
  <c r="B472" i="3"/>
  <c r="AS471" i="3"/>
  <c r="AH471" i="3"/>
  <c r="AA471" i="3"/>
  <c r="Y471" i="3" s="1"/>
  <c r="T471" i="3"/>
  <c r="V471" i="3" s="1"/>
  <c r="S471" i="3"/>
  <c r="B471" i="3"/>
  <c r="AS470" i="3"/>
  <c r="AH470" i="3"/>
  <c r="AA470" i="3"/>
  <c r="Y470" i="3" s="1"/>
  <c r="U470" i="3" s="1"/>
  <c r="T470" i="3"/>
  <c r="S470" i="3"/>
  <c r="B470" i="3"/>
  <c r="AS469" i="3"/>
  <c r="AH469" i="3"/>
  <c r="AA469" i="3"/>
  <c r="Y469" i="3" s="1"/>
  <c r="U469" i="3" s="1"/>
  <c r="T469" i="3"/>
  <c r="S469" i="3"/>
  <c r="B469" i="3"/>
  <c r="AS468" i="3"/>
  <c r="AH468" i="3"/>
  <c r="AA468" i="3"/>
  <c r="Y468" i="3" s="1"/>
  <c r="U468" i="3" s="1"/>
  <c r="T468" i="3"/>
  <c r="S468" i="3"/>
  <c r="B468" i="3"/>
  <c r="AS467" i="3"/>
  <c r="AH467" i="3"/>
  <c r="AA467" i="3"/>
  <c r="R467" i="3"/>
  <c r="Q467" i="3"/>
  <c r="L467" i="3"/>
  <c r="J467" i="3"/>
  <c r="I467" i="3"/>
  <c r="AS466" i="3"/>
  <c r="AH466" i="3"/>
  <c r="AA466" i="3"/>
  <c r="Y466" i="3" s="1"/>
  <c r="U466" i="3" s="1"/>
  <c r="T466" i="3"/>
  <c r="S466" i="3"/>
  <c r="B466" i="3"/>
  <c r="AS465" i="3"/>
  <c r="AH465" i="3"/>
  <c r="AA465" i="3"/>
  <c r="Y465" i="3" s="1"/>
  <c r="T465" i="3"/>
  <c r="U465" i="3" s="1"/>
  <c r="V465" i="3" s="1"/>
  <c r="S465" i="3"/>
  <c r="B465" i="3"/>
  <c r="AS464" i="3"/>
  <c r="AH464" i="3"/>
  <c r="AG464" i="3" s="1"/>
  <c r="U464" i="3" s="1"/>
  <c r="AA464" i="3"/>
  <c r="Y464" i="3" s="1"/>
  <c r="T464" i="3"/>
  <c r="S464" i="3"/>
  <c r="B464" i="3"/>
  <c r="AS463" i="3"/>
  <c r="AH463" i="3"/>
  <c r="AA463" i="3"/>
  <c r="Y463" i="3" s="1"/>
  <c r="U463" i="3" s="1"/>
  <c r="T463" i="3"/>
  <c r="S463" i="3"/>
  <c r="B463" i="3"/>
  <c r="AS462" i="3"/>
  <c r="AH462" i="3"/>
  <c r="AA462" i="3"/>
  <c r="Y462" i="3" s="1"/>
  <c r="T462" i="3"/>
  <c r="V462" i="3" s="1"/>
  <c r="S462" i="3"/>
  <c r="B462" i="3"/>
  <c r="AS461" i="3"/>
  <c r="AH461" i="3"/>
  <c r="AA461" i="3"/>
  <c r="R461" i="3"/>
  <c r="Q461" i="3"/>
  <c r="L461" i="3"/>
  <c r="K461" i="3"/>
  <c r="J461" i="3"/>
  <c r="I461" i="3"/>
  <c r="AS460" i="3"/>
  <c r="AH460" i="3"/>
  <c r="AA460" i="3"/>
  <c r="Y460" i="3" s="1"/>
  <c r="U460" i="3" s="1"/>
  <c r="T460" i="3"/>
  <c r="S460" i="3"/>
  <c r="S459" i="3" s="1"/>
  <c r="B460" i="3"/>
  <c r="AS459" i="3"/>
  <c r="AH459" i="3"/>
  <c r="AA459" i="3"/>
  <c r="R459" i="3"/>
  <c r="Q459" i="3"/>
  <c r="L459" i="3"/>
  <c r="K459" i="3"/>
  <c r="J459" i="3"/>
  <c r="I459" i="3"/>
  <c r="T459" i="3" s="1"/>
  <c r="AS458" i="3"/>
  <c r="AH458" i="3"/>
  <c r="AA458" i="3"/>
  <c r="Y458" i="3" s="1"/>
  <c r="T458" i="3"/>
  <c r="U458" i="3" s="1"/>
  <c r="V458" i="3" s="1"/>
  <c r="S458" i="3"/>
  <c r="S457" i="3" s="1"/>
  <c r="B458" i="3"/>
  <c r="AS457" i="3"/>
  <c r="AH457" i="3"/>
  <c r="AA457" i="3"/>
  <c r="R457" i="3"/>
  <c r="Q457" i="3"/>
  <c r="L457" i="3"/>
  <c r="K457" i="3"/>
  <c r="J457" i="3"/>
  <c r="I457" i="3"/>
  <c r="T457" i="3" s="1"/>
  <c r="U457" i="3" s="1"/>
  <c r="V457" i="3" s="1"/>
  <c r="AS456" i="3"/>
  <c r="AH456" i="3"/>
  <c r="AA456" i="3"/>
  <c r="Y456" i="3" s="1"/>
  <c r="T456" i="3"/>
  <c r="U456" i="3" s="1"/>
  <c r="V456" i="3" s="1"/>
  <c r="S456" i="3"/>
  <c r="S455" i="3" s="1"/>
  <c r="B456" i="3"/>
  <c r="AS455" i="3"/>
  <c r="AH455" i="3"/>
  <c r="AA455" i="3"/>
  <c r="R455" i="3"/>
  <c r="Q455" i="3"/>
  <c r="L455" i="3"/>
  <c r="K455" i="3"/>
  <c r="J455" i="3"/>
  <c r="I455" i="3"/>
  <c r="T455" i="3" s="1"/>
  <c r="U455" i="3" s="1"/>
  <c r="V455" i="3" s="1"/>
  <c r="AS454" i="3"/>
  <c r="AH454" i="3"/>
  <c r="AA454" i="3"/>
  <c r="Y454" i="3" s="1"/>
  <c r="T454" i="3"/>
  <c r="U454" i="3" s="1"/>
  <c r="V454" i="3" s="1"/>
  <c r="S454" i="3"/>
  <c r="S453" i="3" s="1"/>
  <c r="B454" i="3"/>
  <c r="AS453" i="3"/>
  <c r="AH453" i="3"/>
  <c r="AA453" i="3"/>
  <c r="R453" i="3"/>
  <c r="Q453" i="3"/>
  <c r="L453" i="3"/>
  <c r="K453" i="3"/>
  <c r="J453" i="3"/>
  <c r="I453" i="3"/>
  <c r="AS452" i="3"/>
  <c r="AH452" i="3"/>
  <c r="AA452" i="3"/>
  <c r="Y452" i="3" s="1"/>
  <c r="T452" i="3"/>
  <c r="U452" i="3" s="1"/>
  <c r="V452" i="3" s="1"/>
  <c r="S452" i="3"/>
  <c r="S451" i="3" s="1"/>
  <c r="B452" i="3"/>
  <c r="AS451" i="3"/>
  <c r="AH451" i="3"/>
  <c r="AA451" i="3"/>
  <c r="R451" i="3"/>
  <c r="Q451" i="3"/>
  <c r="L451" i="3"/>
  <c r="K451" i="3"/>
  <c r="J451" i="3"/>
  <c r="I451" i="3"/>
  <c r="T451" i="3" s="1"/>
  <c r="U451" i="3" s="1"/>
  <c r="V451" i="3" s="1"/>
  <c r="AS450" i="3"/>
  <c r="AH450" i="3"/>
  <c r="AA450" i="3"/>
  <c r="Y450" i="3" s="1"/>
  <c r="U450" i="3" s="1"/>
  <c r="U449" i="3" s="1"/>
  <c r="T450" i="3"/>
  <c r="S450" i="3"/>
  <c r="S449" i="3" s="1"/>
  <c r="B450" i="3"/>
  <c r="AS449" i="3"/>
  <c r="AH449" i="3"/>
  <c r="AA449" i="3"/>
  <c r="R449" i="3"/>
  <c r="Q449" i="3"/>
  <c r="L449" i="3"/>
  <c r="K449" i="3"/>
  <c r="J449" i="3"/>
  <c r="I449" i="3"/>
  <c r="T449" i="3" s="1"/>
  <c r="AS448" i="3"/>
  <c r="AH448" i="3"/>
  <c r="AA448" i="3"/>
  <c r="Y448" i="3" s="1"/>
  <c r="U448" i="3" s="1"/>
  <c r="T448" i="3"/>
  <c r="S448" i="3"/>
  <c r="S447" i="3" s="1"/>
  <c r="B448" i="3"/>
  <c r="AS447" i="3"/>
  <c r="AH447" i="3"/>
  <c r="AA447" i="3"/>
  <c r="R447" i="3"/>
  <c r="Q447" i="3"/>
  <c r="L447" i="3"/>
  <c r="K447" i="3"/>
  <c r="J447" i="3"/>
  <c r="I447" i="3"/>
  <c r="T447" i="3" s="1"/>
  <c r="AS446" i="3"/>
  <c r="AH446" i="3"/>
  <c r="AA446" i="3"/>
  <c r="Y446" i="3" s="1"/>
  <c r="U446" i="3" s="1"/>
  <c r="T446" i="3"/>
  <c r="S446" i="3"/>
  <c r="B446" i="3"/>
  <c r="AS445" i="3"/>
  <c r="AH445" i="3"/>
  <c r="AA445" i="3"/>
  <c r="Y445" i="3" s="1"/>
  <c r="T445" i="3"/>
  <c r="U445" i="3" s="1"/>
  <c r="V445" i="3" s="1"/>
  <c r="S445" i="3"/>
  <c r="B445" i="3"/>
  <c r="AS444" i="3"/>
  <c r="AH444" i="3"/>
  <c r="AG444" i="3" s="1"/>
  <c r="U444" i="3" s="1"/>
  <c r="AA444" i="3"/>
  <c r="Y444" i="3" s="1"/>
  <c r="T444" i="3"/>
  <c r="S444" i="3"/>
  <c r="B444" i="3"/>
  <c r="AS443" i="3"/>
  <c r="AH443" i="3"/>
  <c r="AA443" i="3"/>
  <c r="Y443" i="3" s="1"/>
  <c r="U443" i="3" s="1"/>
  <c r="T443" i="3"/>
  <c r="S443" i="3"/>
  <c r="B443" i="3"/>
  <c r="AS442" i="3"/>
  <c r="AH442" i="3"/>
  <c r="AA442" i="3"/>
  <c r="Y442" i="3" s="1"/>
  <c r="U442" i="3" s="1"/>
  <c r="T442" i="3"/>
  <c r="S442" i="3"/>
  <c r="B442" i="3"/>
  <c r="AS441" i="3"/>
  <c r="AH441" i="3"/>
  <c r="AA441" i="3"/>
  <c r="Y441" i="3" s="1"/>
  <c r="U441" i="3" s="1"/>
  <c r="T441" i="3"/>
  <c r="S441" i="3"/>
  <c r="B441" i="3"/>
  <c r="AS440" i="3"/>
  <c r="AH440" i="3"/>
  <c r="AA440" i="3"/>
  <c r="Y440" i="3" s="1"/>
  <c r="T440" i="3"/>
  <c r="S440" i="3"/>
  <c r="B440" i="3"/>
  <c r="AS439" i="3"/>
  <c r="AH439" i="3"/>
  <c r="AA439" i="3"/>
  <c r="Y439" i="3" s="1"/>
  <c r="U439" i="3" s="1"/>
  <c r="T439" i="3"/>
  <c r="S439" i="3"/>
  <c r="B439" i="3"/>
  <c r="AS438" i="3"/>
  <c r="AH438" i="3"/>
  <c r="AA438" i="3"/>
  <c r="Y438" i="3" s="1"/>
  <c r="T438" i="3"/>
  <c r="S438" i="3"/>
  <c r="B438" i="3"/>
  <c r="AS437" i="3"/>
  <c r="AH437" i="3"/>
  <c r="AA437" i="3"/>
  <c r="R437" i="3"/>
  <c r="Q437" i="3"/>
  <c r="L437" i="3"/>
  <c r="K437" i="3"/>
  <c r="J437" i="3"/>
  <c r="I437" i="3"/>
  <c r="T437" i="3" s="1"/>
  <c r="AS436" i="3"/>
  <c r="AH436" i="3"/>
  <c r="AA436" i="3"/>
  <c r="Y436" i="3" s="1"/>
  <c r="U436" i="3" s="1"/>
  <c r="T436" i="3"/>
  <c r="S436" i="3"/>
  <c r="B436" i="3"/>
  <c r="AS435" i="3"/>
  <c r="AH435" i="3"/>
  <c r="AA435" i="3"/>
  <c r="Y435" i="3" s="1"/>
  <c r="U435" i="3" s="1"/>
  <c r="T435" i="3"/>
  <c r="S435" i="3"/>
  <c r="B435" i="3"/>
  <c r="AS434" i="3"/>
  <c r="AH434" i="3"/>
  <c r="AA434" i="3"/>
  <c r="R434" i="3"/>
  <c r="Q434" i="3"/>
  <c r="L434" i="3"/>
  <c r="K434" i="3"/>
  <c r="J434" i="3"/>
  <c r="I434" i="3"/>
  <c r="T434" i="3" s="1"/>
  <c r="AS433" i="3"/>
  <c r="AH433" i="3"/>
  <c r="AA433" i="3"/>
  <c r="Y433" i="3" s="1"/>
  <c r="U433" i="3" s="1"/>
  <c r="T433" i="3"/>
  <c r="S433" i="3"/>
  <c r="B433" i="3"/>
  <c r="AS432" i="3"/>
  <c r="AH432" i="3"/>
  <c r="AA432" i="3"/>
  <c r="Y432" i="3" s="1"/>
  <c r="T432" i="3"/>
  <c r="V432" i="3" s="1"/>
  <c r="S432" i="3"/>
  <c r="B432" i="3"/>
  <c r="AS431" i="3"/>
  <c r="AH431" i="3"/>
  <c r="AA431" i="3"/>
  <c r="Y431" i="3" s="1"/>
  <c r="U431" i="3" s="1"/>
  <c r="T431" i="3"/>
  <c r="S431" i="3"/>
  <c r="B431" i="3"/>
  <c r="AS430" i="3"/>
  <c r="AH430" i="3"/>
  <c r="AA430" i="3"/>
  <c r="Y430" i="3" s="1"/>
  <c r="U430" i="3" s="1"/>
  <c r="T430" i="3"/>
  <c r="S430" i="3"/>
  <c r="B430" i="3"/>
  <c r="AS429" i="3"/>
  <c r="AH429" i="3"/>
  <c r="AA429" i="3"/>
  <c r="Y429" i="3" s="1"/>
  <c r="U429" i="3" s="1"/>
  <c r="T429" i="3"/>
  <c r="S429" i="3"/>
  <c r="B429" i="3"/>
  <c r="AS428" i="3"/>
  <c r="AH428" i="3"/>
  <c r="AA428" i="3"/>
  <c r="R428" i="3"/>
  <c r="Q428" i="3"/>
  <c r="L428" i="3"/>
  <c r="K428" i="3"/>
  <c r="J428" i="3"/>
  <c r="I428" i="3"/>
  <c r="T428" i="3" s="1"/>
  <c r="AS427" i="3"/>
  <c r="AH427" i="3"/>
  <c r="AG427" i="3" s="1"/>
  <c r="U427" i="3" s="1"/>
  <c r="AA427" i="3"/>
  <c r="Y427" i="3" s="1"/>
  <c r="T427" i="3"/>
  <c r="S427" i="3"/>
  <c r="B427" i="3"/>
  <c r="AS426" i="3"/>
  <c r="AH426" i="3"/>
  <c r="AA426" i="3"/>
  <c r="Y426" i="3" s="1"/>
  <c r="T426" i="3"/>
  <c r="V426" i="3" s="1"/>
  <c r="S426" i="3"/>
  <c r="B426" i="3"/>
  <c r="AS425" i="3"/>
  <c r="AH425" i="3"/>
  <c r="AA425" i="3"/>
  <c r="Y425" i="3" s="1"/>
  <c r="T425" i="3"/>
  <c r="V425" i="3" s="1"/>
  <c r="S425" i="3"/>
  <c r="B425" i="3"/>
  <c r="AS424" i="3"/>
  <c r="AH424" i="3"/>
  <c r="AA424" i="3"/>
  <c r="Y424" i="3" s="1"/>
  <c r="T424" i="3"/>
  <c r="V424" i="3" s="1"/>
  <c r="S424" i="3"/>
  <c r="B424" i="3"/>
  <c r="AS423" i="3"/>
  <c r="AH423" i="3"/>
  <c r="AA423" i="3"/>
  <c r="Y423" i="3" s="1"/>
  <c r="T423" i="3"/>
  <c r="V423" i="3" s="1"/>
  <c r="S423" i="3"/>
  <c r="B423" i="3"/>
  <c r="AS422" i="3"/>
  <c r="AH422" i="3"/>
  <c r="AA422" i="3"/>
  <c r="Y422" i="3" s="1"/>
  <c r="U422" i="3" s="1"/>
  <c r="T422" i="3"/>
  <c r="S422" i="3"/>
  <c r="B422" i="3"/>
  <c r="AS421" i="3"/>
  <c r="AH421" i="3"/>
  <c r="AA421" i="3"/>
  <c r="Y421" i="3" s="1"/>
  <c r="U421" i="3" s="1"/>
  <c r="T421" i="3"/>
  <c r="S421" i="3"/>
  <c r="B421" i="3"/>
  <c r="AS420" i="3"/>
  <c r="AH420" i="3"/>
  <c r="AA420" i="3"/>
  <c r="R420" i="3"/>
  <c r="Q420" i="3"/>
  <c r="L420" i="3"/>
  <c r="K420" i="3"/>
  <c r="J420" i="3"/>
  <c r="I420" i="3"/>
  <c r="T420" i="3" s="1"/>
  <c r="AS419" i="3"/>
  <c r="AH419" i="3"/>
  <c r="AA419" i="3"/>
  <c r="Y419" i="3" s="1"/>
  <c r="U419" i="3" s="1"/>
  <c r="T419" i="3"/>
  <c r="S419" i="3"/>
  <c r="B419" i="3"/>
  <c r="AS418" i="3"/>
  <c r="AH418" i="3"/>
  <c r="AA418" i="3"/>
  <c r="Y418" i="3" s="1"/>
  <c r="U418" i="3" s="1"/>
  <c r="T418" i="3"/>
  <c r="S418" i="3"/>
  <c r="B418" i="3"/>
  <c r="AS417" i="3"/>
  <c r="AH417" i="3"/>
  <c r="AA417" i="3"/>
  <c r="Y417" i="3" s="1"/>
  <c r="T417" i="3"/>
  <c r="V417" i="3" s="1"/>
  <c r="S417" i="3"/>
  <c r="B417" i="3"/>
  <c r="AS416" i="3"/>
  <c r="AH416" i="3"/>
  <c r="AA416" i="3"/>
  <c r="Y416" i="3" s="1"/>
  <c r="U416" i="3" s="1"/>
  <c r="T416" i="3"/>
  <c r="S416" i="3"/>
  <c r="B416" i="3"/>
  <c r="AS415" i="3"/>
  <c r="AH415" i="3"/>
  <c r="AA415" i="3"/>
  <c r="R415" i="3"/>
  <c r="Q415" i="3"/>
  <c r="L415" i="3"/>
  <c r="K415" i="3"/>
  <c r="J415" i="3"/>
  <c r="I415" i="3"/>
  <c r="T415" i="3" s="1"/>
  <c r="AS414" i="3"/>
  <c r="AH414" i="3"/>
  <c r="AA414" i="3"/>
  <c r="Y414" i="3" s="1"/>
  <c r="U414" i="3" s="1"/>
  <c r="T414" i="3"/>
  <c r="S414" i="3"/>
  <c r="S413" i="3" s="1"/>
  <c r="B414" i="3"/>
  <c r="AS413" i="3"/>
  <c r="AH413" i="3"/>
  <c r="AA413" i="3"/>
  <c r="R413" i="3"/>
  <c r="Q413" i="3"/>
  <c r="L413" i="3"/>
  <c r="K413" i="3"/>
  <c r="J413" i="3"/>
  <c r="I413" i="3"/>
  <c r="T413" i="3" s="1"/>
  <c r="AS412" i="3"/>
  <c r="AH412" i="3"/>
  <c r="AA412" i="3"/>
  <c r="Y412" i="3" s="1"/>
  <c r="U412" i="3" s="1"/>
  <c r="T412" i="3"/>
  <c r="S412" i="3"/>
  <c r="B412" i="3"/>
  <c r="AS411" i="3"/>
  <c r="AH411" i="3"/>
  <c r="AA411" i="3"/>
  <c r="Y411" i="3" s="1"/>
  <c r="T411" i="3"/>
  <c r="V411" i="3" s="1"/>
  <c r="S411" i="3"/>
  <c r="B411" i="3"/>
  <c r="AS410" i="3"/>
  <c r="AH410" i="3"/>
  <c r="AA410" i="3"/>
  <c r="Y410" i="3" s="1"/>
  <c r="U410" i="3" s="1"/>
  <c r="T410" i="3"/>
  <c r="S410" i="3"/>
  <c r="B410" i="3"/>
  <c r="AS409" i="3"/>
  <c r="AH409" i="3"/>
  <c r="AA409" i="3"/>
  <c r="Y409" i="3" s="1"/>
  <c r="T409" i="3"/>
  <c r="U409" i="3" s="1"/>
  <c r="V409" i="3" s="1"/>
  <c r="S409" i="3"/>
  <c r="B409" i="3"/>
  <c r="AS408" i="3"/>
  <c r="AH408" i="3"/>
  <c r="AA408" i="3"/>
  <c r="Y408" i="3" s="1"/>
  <c r="U408" i="3" s="1"/>
  <c r="T408" i="3"/>
  <c r="S408" i="3"/>
  <c r="B408" i="3"/>
  <c r="AS407" i="3"/>
  <c r="AH407" i="3"/>
  <c r="AA407" i="3"/>
  <c r="R407" i="3"/>
  <c r="Q407" i="3"/>
  <c r="L407" i="3"/>
  <c r="K407" i="3"/>
  <c r="J407" i="3"/>
  <c r="I407" i="3"/>
  <c r="T407" i="3" s="1"/>
  <c r="AS406" i="3"/>
  <c r="AH406" i="3"/>
  <c r="AA406" i="3"/>
  <c r="Y406" i="3" s="1"/>
  <c r="T406" i="3"/>
  <c r="V406" i="3" s="1"/>
  <c r="S406" i="3"/>
  <c r="S405" i="3" s="1"/>
  <c r="B406" i="3"/>
  <c r="AS405" i="3"/>
  <c r="AH405" i="3"/>
  <c r="AA405" i="3"/>
  <c r="U405" i="3"/>
  <c r="R405" i="3"/>
  <c r="Q405" i="3"/>
  <c r="L405" i="3"/>
  <c r="K405" i="3"/>
  <c r="J405" i="3"/>
  <c r="I405" i="3"/>
  <c r="T405" i="3" s="1"/>
  <c r="AS404" i="3"/>
  <c r="AH404" i="3"/>
  <c r="AA404" i="3"/>
  <c r="Y404" i="3" s="1"/>
  <c r="T404" i="3"/>
  <c r="U404" i="3" s="1"/>
  <c r="V404" i="3" s="1"/>
  <c r="S404" i="3"/>
  <c r="S403" i="3" s="1"/>
  <c r="B404" i="3"/>
  <c r="AS403" i="3"/>
  <c r="AH403" i="3"/>
  <c r="AA403" i="3"/>
  <c r="R403" i="3"/>
  <c r="Q403" i="3"/>
  <c r="L403" i="3"/>
  <c r="K403" i="3"/>
  <c r="J403" i="3"/>
  <c r="I403" i="3"/>
  <c r="T403" i="3" s="1"/>
  <c r="U403" i="3" s="1"/>
  <c r="V403" i="3" s="1"/>
  <c r="AS402" i="3"/>
  <c r="AH402" i="3"/>
  <c r="AA402" i="3"/>
  <c r="Y402" i="3" s="1"/>
  <c r="U402" i="3" s="1"/>
  <c r="T402" i="3"/>
  <c r="S402" i="3"/>
  <c r="B402" i="3"/>
  <c r="AS401" i="3"/>
  <c r="AH401" i="3"/>
  <c r="AA401" i="3"/>
  <c r="Y401" i="3" s="1"/>
  <c r="U401" i="3" s="1"/>
  <c r="T401" i="3"/>
  <c r="S401" i="3"/>
  <c r="B401" i="3"/>
  <c r="AS400" i="3"/>
  <c r="AH400" i="3"/>
  <c r="AA400" i="3"/>
  <c r="Y400" i="3" s="1"/>
  <c r="T400" i="3"/>
  <c r="U400" i="3" s="1"/>
  <c r="V400" i="3" s="1"/>
  <c r="S400" i="3"/>
  <c r="B400" i="3"/>
  <c r="AS399" i="3"/>
  <c r="AH399" i="3"/>
  <c r="AA399" i="3"/>
  <c r="Y399" i="3" s="1"/>
  <c r="T399" i="3"/>
  <c r="U399" i="3" s="1"/>
  <c r="V399" i="3" s="1"/>
  <c r="S399" i="3"/>
  <c r="B399" i="3"/>
  <c r="AS398" i="3"/>
  <c r="AH398" i="3"/>
  <c r="AA398" i="3"/>
  <c r="Y398" i="3" s="1"/>
  <c r="T398" i="3"/>
  <c r="U398" i="3" s="1"/>
  <c r="S398" i="3"/>
  <c r="B398" i="3"/>
  <c r="AS397" i="3"/>
  <c r="AH397" i="3"/>
  <c r="AA397" i="3"/>
  <c r="R397" i="3"/>
  <c r="Q397" i="3"/>
  <c r="L397" i="3"/>
  <c r="K397" i="3"/>
  <c r="J397" i="3"/>
  <c r="I397" i="3"/>
  <c r="T397" i="3" s="1"/>
  <c r="AS396" i="3"/>
  <c r="AH396" i="3"/>
  <c r="AG396" i="3" s="1"/>
  <c r="U396" i="3" s="1"/>
  <c r="AA396" i="3"/>
  <c r="Y396" i="3" s="1"/>
  <c r="T396" i="3"/>
  <c r="S396" i="3"/>
  <c r="S395" i="3" s="1"/>
  <c r="B396" i="3"/>
  <c r="AS395" i="3"/>
  <c r="AH395" i="3"/>
  <c r="AA395" i="3"/>
  <c r="R395" i="3"/>
  <c r="Q395" i="3"/>
  <c r="L395" i="3"/>
  <c r="K395" i="3"/>
  <c r="J395" i="3"/>
  <c r="I395" i="3"/>
  <c r="T395" i="3" s="1"/>
  <c r="AS394" i="3"/>
  <c r="AH394" i="3"/>
  <c r="AA394" i="3"/>
  <c r="Y394" i="3" s="1"/>
  <c r="T394" i="3"/>
  <c r="V394" i="3" s="1"/>
  <c r="S394" i="3"/>
  <c r="K394" i="3"/>
  <c r="K390" i="3" s="1"/>
  <c r="B394" i="3"/>
  <c r="AS393" i="3"/>
  <c r="AH393" i="3"/>
  <c r="AA393" i="3"/>
  <c r="Y393" i="3" s="1"/>
  <c r="U393" i="3" s="1"/>
  <c r="T393" i="3"/>
  <c r="S393" i="3"/>
  <c r="B393" i="3"/>
  <c r="AS392" i="3"/>
  <c r="AH392" i="3"/>
  <c r="AG392" i="3" s="1"/>
  <c r="U392" i="3" s="1"/>
  <c r="AA392" i="3"/>
  <c r="Y392" i="3" s="1"/>
  <c r="T392" i="3"/>
  <c r="S392" i="3"/>
  <c r="B392" i="3"/>
  <c r="AS391" i="3"/>
  <c r="AH391" i="3"/>
  <c r="AG391" i="3" s="1"/>
  <c r="U391" i="3" s="1"/>
  <c r="AA391" i="3"/>
  <c r="Y391" i="3" s="1"/>
  <c r="T391" i="3"/>
  <c r="S391" i="3"/>
  <c r="B391" i="3"/>
  <c r="AS390" i="3"/>
  <c r="AH390" i="3"/>
  <c r="AA390" i="3"/>
  <c r="R390" i="3"/>
  <c r="Q390" i="3"/>
  <c r="L390" i="3"/>
  <c r="J390" i="3"/>
  <c r="I390" i="3"/>
  <c r="T390" i="3" s="1"/>
  <c r="AS389" i="3"/>
  <c r="AH389" i="3"/>
  <c r="AA389" i="3"/>
  <c r="Y389" i="3" s="1"/>
  <c r="U389" i="3" s="1"/>
  <c r="T389" i="3"/>
  <c r="S389" i="3"/>
  <c r="S388" i="3" s="1"/>
  <c r="B389" i="3"/>
  <c r="AS388" i="3"/>
  <c r="AH388" i="3"/>
  <c r="AA388" i="3"/>
  <c r="R388" i="3"/>
  <c r="Q388" i="3"/>
  <c r="L388" i="3"/>
  <c r="K388" i="3"/>
  <c r="J388" i="3"/>
  <c r="I388" i="3"/>
  <c r="T388" i="3" s="1"/>
  <c r="AS387" i="3"/>
  <c r="AH387" i="3"/>
  <c r="AA387" i="3"/>
  <c r="Y387" i="3" s="1"/>
  <c r="T387" i="3"/>
  <c r="V387" i="3" s="1"/>
  <c r="S387" i="3"/>
  <c r="B387" i="3"/>
  <c r="AS386" i="3"/>
  <c r="AH386" i="3"/>
  <c r="AA386" i="3"/>
  <c r="Y386" i="3" s="1"/>
  <c r="T386" i="3"/>
  <c r="U386" i="3" s="1"/>
  <c r="S386" i="3"/>
  <c r="B386" i="3"/>
  <c r="AS385" i="3"/>
  <c r="AH385" i="3"/>
  <c r="AA385" i="3"/>
  <c r="R385" i="3"/>
  <c r="Q385" i="3"/>
  <c r="L385" i="3"/>
  <c r="K385" i="3"/>
  <c r="J385" i="3"/>
  <c r="I385" i="3"/>
  <c r="T385" i="3" s="1"/>
  <c r="AS384" i="3"/>
  <c r="AH384" i="3"/>
  <c r="AA384" i="3"/>
  <c r="Y384" i="3" s="1"/>
  <c r="T384" i="3"/>
  <c r="U384" i="3" s="1"/>
  <c r="V384" i="3" s="1"/>
  <c r="S384" i="3"/>
  <c r="K384" i="3"/>
  <c r="K380" i="3" s="1"/>
  <c r="B384" i="3"/>
  <c r="AS383" i="3"/>
  <c r="AH383" i="3"/>
  <c r="AA383" i="3"/>
  <c r="Y383" i="3" s="1"/>
  <c r="T383" i="3"/>
  <c r="V383" i="3" s="1"/>
  <c r="S383" i="3"/>
  <c r="B383" i="3"/>
  <c r="AS382" i="3"/>
  <c r="AH382" i="3"/>
  <c r="AG382" i="3" s="1"/>
  <c r="AA382" i="3"/>
  <c r="Y382" i="3" s="1"/>
  <c r="T382" i="3"/>
  <c r="U382" i="3" s="1"/>
  <c r="V382" i="3" s="1"/>
  <c r="S382" i="3"/>
  <c r="B382" i="3"/>
  <c r="AS381" i="3"/>
  <c r="AH381" i="3"/>
  <c r="AA381" i="3"/>
  <c r="Y381" i="3" s="1"/>
  <c r="U381" i="3" s="1"/>
  <c r="T381" i="3"/>
  <c r="S381" i="3"/>
  <c r="B381" i="3"/>
  <c r="AS380" i="3"/>
  <c r="AH380" i="3"/>
  <c r="AA380" i="3"/>
  <c r="R380" i="3"/>
  <c r="Q380" i="3"/>
  <c r="L380" i="3"/>
  <c r="J380" i="3"/>
  <c r="I380" i="3"/>
  <c r="T380" i="3" s="1"/>
  <c r="AS379" i="3"/>
  <c r="AH379" i="3"/>
  <c r="AA379" i="3"/>
  <c r="Y379" i="3" s="1"/>
  <c r="T379" i="3"/>
  <c r="U379" i="3" s="1"/>
  <c r="V379" i="3" s="1"/>
  <c r="S379" i="3"/>
  <c r="S378" i="3" s="1"/>
  <c r="B379" i="3"/>
  <c r="AS378" i="3"/>
  <c r="AH378" i="3"/>
  <c r="AA378" i="3"/>
  <c r="R378" i="3"/>
  <c r="Q378" i="3"/>
  <c r="L378" i="3"/>
  <c r="K378" i="3"/>
  <c r="J378" i="3"/>
  <c r="I378" i="3"/>
  <c r="T378" i="3" s="1"/>
  <c r="U378" i="3" s="1"/>
  <c r="V378" i="3" s="1"/>
  <c r="AS377" i="3"/>
  <c r="AH377" i="3"/>
  <c r="AG377" i="3" s="1"/>
  <c r="AA377" i="3"/>
  <c r="Y377" i="3" s="1"/>
  <c r="T377" i="3"/>
  <c r="S377" i="3"/>
  <c r="S376" i="3" s="1"/>
  <c r="B377" i="3"/>
  <c r="AS376" i="3"/>
  <c r="AH376" i="3"/>
  <c r="AA376" i="3"/>
  <c r="R376" i="3"/>
  <c r="Q376" i="3"/>
  <c r="L376" i="3"/>
  <c r="K376" i="3"/>
  <c r="J376" i="3"/>
  <c r="I376" i="3"/>
  <c r="T376" i="3" s="1"/>
  <c r="AS375" i="3"/>
  <c r="AH375" i="3"/>
  <c r="AA375" i="3"/>
  <c r="Y375" i="3" s="1"/>
  <c r="T375" i="3"/>
  <c r="V375" i="3" s="1"/>
  <c r="S375" i="3"/>
  <c r="B375" i="3"/>
  <c r="AS374" i="3"/>
  <c r="AH374" i="3"/>
  <c r="AA374" i="3"/>
  <c r="Y374" i="3" s="1"/>
  <c r="U374" i="3" s="1"/>
  <c r="T374" i="3"/>
  <c r="S374" i="3"/>
  <c r="B374" i="3"/>
  <c r="AS373" i="3"/>
  <c r="AH373" i="3"/>
  <c r="AA373" i="3"/>
  <c r="R373" i="3"/>
  <c r="Q373" i="3"/>
  <c r="L373" i="3"/>
  <c r="K373" i="3"/>
  <c r="J373" i="3"/>
  <c r="I373" i="3"/>
  <c r="T373" i="3" s="1"/>
  <c r="AS372" i="3"/>
  <c r="AH372" i="3"/>
  <c r="AA372" i="3"/>
  <c r="Y372" i="3" s="1"/>
  <c r="U372" i="3" s="1"/>
  <c r="T372" i="3"/>
  <c r="S372" i="3"/>
  <c r="B372" i="3"/>
  <c r="AS371" i="3"/>
  <c r="AH371" i="3"/>
  <c r="AA371" i="3"/>
  <c r="Y371" i="3" s="1"/>
  <c r="U371" i="3" s="1"/>
  <c r="T371" i="3"/>
  <c r="S371" i="3"/>
  <c r="K371" i="3"/>
  <c r="K357" i="3" s="1"/>
  <c r="B371" i="3"/>
  <c r="AS370" i="3"/>
  <c r="AH370" i="3"/>
  <c r="AA370" i="3"/>
  <c r="Y370" i="3" s="1"/>
  <c r="U370" i="3" s="1"/>
  <c r="T370" i="3"/>
  <c r="S370" i="3"/>
  <c r="B370" i="3"/>
  <c r="AS369" i="3"/>
  <c r="AH369" i="3"/>
  <c r="AA369" i="3"/>
  <c r="Y369" i="3" s="1"/>
  <c r="T369" i="3"/>
  <c r="V369" i="3" s="1"/>
  <c r="S369" i="3"/>
  <c r="B369" i="3"/>
  <c r="AS368" i="3"/>
  <c r="AH368" i="3"/>
  <c r="AA368" i="3"/>
  <c r="Y368" i="3" s="1"/>
  <c r="U368" i="3" s="1"/>
  <c r="T368" i="3"/>
  <c r="S368" i="3"/>
  <c r="B368" i="3"/>
  <c r="AS367" i="3"/>
  <c r="AH367" i="3"/>
  <c r="AA367" i="3"/>
  <c r="Y367" i="3" s="1"/>
  <c r="U367" i="3" s="1"/>
  <c r="T367" i="3"/>
  <c r="S367" i="3"/>
  <c r="B367" i="3"/>
  <c r="AS366" i="3"/>
  <c r="AH366" i="3"/>
  <c r="AA366" i="3"/>
  <c r="Y366" i="3" s="1"/>
  <c r="U366" i="3" s="1"/>
  <c r="T366" i="3"/>
  <c r="S366" i="3"/>
  <c r="B366" i="3"/>
  <c r="AS365" i="3"/>
  <c r="AH365" i="3"/>
  <c r="AG365" i="3" s="1"/>
  <c r="U365" i="3" s="1"/>
  <c r="AA365" i="3"/>
  <c r="Y365" i="3" s="1"/>
  <c r="T365" i="3"/>
  <c r="S365" i="3"/>
  <c r="B365" i="3"/>
  <c r="AS364" i="3"/>
  <c r="AH364" i="3"/>
  <c r="AA364" i="3"/>
  <c r="Y364" i="3" s="1"/>
  <c r="T364" i="3"/>
  <c r="V364" i="3" s="1"/>
  <c r="S364" i="3"/>
  <c r="B364" i="3"/>
  <c r="AS363" i="3"/>
  <c r="AH363" i="3"/>
  <c r="AA363" i="3"/>
  <c r="Y363" i="3" s="1"/>
  <c r="U363" i="3" s="1"/>
  <c r="T363" i="3"/>
  <c r="S363" i="3"/>
  <c r="B363" i="3"/>
  <c r="AS362" i="3"/>
  <c r="AH362" i="3"/>
  <c r="AA362" i="3"/>
  <c r="Y362" i="3" s="1"/>
  <c r="U362" i="3" s="1"/>
  <c r="T362" i="3"/>
  <c r="S362" i="3"/>
  <c r="B362" i="3"/>
  <c r="AS361" i="3"/>
  <c r="AH361" i="3"/>
  <c r="AA361" i="3"/>
  <c r="Y361" i="3" s="1"/>
  <c r="U361" i="3" s="1"/>
  <c r="T361" i="3"/>
  <c r="S361" i="3"/>
  <c r="B361" i="3"/>
  <c r="AS360" i="3"/>
  <c r="AH360" i="3"/>
  <c r="AA360" i="3"/>
  <c r="Y360" i="3" s="1"/>
  <c r="U360" i="3" s="1"/>
  <c r="T360" i="3"/>
  <c r="S360" i="3"/>
  <c r="B360" i="3"/>
  <c r="AS359" i="3"/>
  <c r="AH359" i="3"/>
  <c r="AA359" i="3"/>
  <c r="Y359" i="3" s="1"/>
  <c r="U359" i="3" s="1"/>
  <c r="T359" i="3"/>
  <c r="S359" i="3"/>
  <c r="B359" i="3"/>
  <c r="AS358" i="3"/>
  <c r="AH358" i="3"/>
  <c r="AA358" i="3"/>
  <c r="Y358" i="3" s="1"/>
  <c r="U358" i="3" s="1"/>
  <c r="T358" i="3"/>
  <c r="S358" i="3"/>
  <c r="B358" i="3"/>
  <c r="AS357" i="3"/>
  <c r="AH357" i="3"/>
  <c r="AA357" i="3"/>
  <c r="R357" i="3"/>
  <c r="Q357" i="3"/>
  <c r="L357" i="3"/>
  <c r="J357" i="3"/>
  <c r="I357" i="3"/>
  <c r="T357" i="3" s="1"/>
  <c r="AS356" i="3"/>
  <c r="AH356" i="3"/>
  <c r="AG356" i="3" s="1"/>
  <c r="AA356" i="3"/>
  <c r="Y356" i="3" s="1"/>
  <c r="T356" i="3"/>
  <c r="S356" i="3"/>
  <c r="S355" i="3" s="1"/>
  <c r="B356" i="3"/>
  <c r="AS355" i="3"/>
  <c r="AH355" i="3"/>
  <c r="AA355" i="3"/>
  <c r="R355" i="3"/>
  <c r="Q355" i="3"/>
  <c r="L355" i="3"/>
  <c r="K355" i="3"/>
  <c r="J355" i="3"/>
  <c r="I355" i="3"/>
  <c r="T355" i="3" s="1"/>
  <c r="AS354" i="3"/>
  <c r="AH354" i="3"/>
  <c r="AA354" i="3"/>
  <c r="Y354" i="3" s="1"/>
  <c r="U354" i="3" s="1"/>
  <c r="T354" i="3"/>
  <c r="S354" i="3"/>
  <c r="B354" i="3"/>
  <c r="AS353" i="3"/>
  <c r="AH353" i="3"/>
  <c r="AA353" i="3"/>
  <c r="Y353" i="3" s="1"/>
  <c r="T353" i="3"/>
  <c r="V353" i="3" s="1"/>
  <c r="S353" i="3"/>
  <c r="B353" i="3"/>
  <c r="AS352" i="3"/>
  <c r="AH352" i="3"/>
  <c r="AA352" i="3"/>
  <c r="Y352" i="3" s="1"/>
  <c r="U352" i="3" s="1"/>
  <c r="T352" i="3"/>
  <c r="S352" i="3"/>
  <c r="B352" i="3"/>
  <c r="AS351" i="3"/>
  <c r="AH351" i="3"/>
  <c r="AA351" i="3"/>
  <c r="R351" i="3"/>
  <c r="Q351" i="3"/>
  <c r="L351" i="3"/>
  <c r="K351" i="3"/>
  <c r="J351" i="3"/>
  <c r="I351" i="3"/>
  <c r="T351" i="3" s="1"/>
  <c r="AS350" i="3"/>
  <c r="AH350" i="3"/>
  <c r="AA350" i="3"/>
  <c r="Y350" i="3" s="1"/>
  <c r="U350" i="3" s="1"/>
  <c r="T350" i="3"/>
  <c r="S350" i="3"/>
  <c r="K350" i="3"/>
  <c r="K347" i="3" s="1"/>
  <c r="B350" i="3"/>
  <c r="AS349" i="3"/>
  <c r="AH349" i="3"/>
  <c r="AA349" i="3"/>
  <c r="Y349" i="3" s="1"/>
  <c r="T349" i="3"/>
  <c r="V349" i="3" s="1"/>
  <c r="S349" i="3"/>
  <c r="B349" i="3"/>
  <c r="AS348" i="3"/>
  <c r="AH348" i="3"/>
  <c r="AA348" i="3"/>
  <c r="Y348" i="3" s="1"/>
  <c r="T348" i="3"/>
  <c r="U348" i="3" s="1"/>
  <c r="V348" i="3" s="1"/>
  <c r="S348" i="3"/>
  <c r="B348" i="3"/>
  <c r="AS347" i="3"/>
  <c r="AH347" i="3"/>
  <c r="AA347" i="3"/>
  <c r="R347" i="3"/>
  <c r="Q347" i="3"/>
  <c r="L347" i="3"/>
  <c r="J347" i="3"/>
  <c r="I347" i="3"/>
  <c r="T347" i="3" s="1"/>
  <c r="AS346" i="3"/>
  <c r="AH346" i="3"/>
  <c r="AA346" i="3"/>
  <c r="Y346" i="3" s="1"/>
  <c r="T346" i="3"/>
  <c r="U346" i="3" s="1"/>
  <c r="V346" i="3" s="1"/>
  <c r="S346" i="3"/>
  <c r="B346" i="3"/>
  <c r="AS345" i="3"/>
  <c r="AH345" i="3"/>
  <c r="AA345" i="3"/>
  <c r="Y345" i="3" s="1"/>
  <c r="T345" i="3"/>
  <c r="U345" i="3" s="1"/>
  <c r="V345" i="3" s="1"/>
  <c r="S345" i="3"/>
  <c r="B345" i="3"/>
  <c r="AS344" i="3"/>
  <c r="AH344" i="3"/>
  <c r="AA344" i="3"/>
  <c r="R344" i="3"/>
  <c r="Q344" i="3"/>
  <c r="L344" i="3"/>
  <c r="K344" i="3"/>
  <c r="J344" i="3"/>
  <c r="I344" i="3"/>
  <c r="AS343" i="3"/>
  <c r="AH343" i="3"/>
  <c r="AG343" i="3" s="1"/>
  <c r="U343" i="3" s="1"/>
  <c r="AA343" i="3"/>
  <c r="Y343" i="3" s="1"/>
  <c r="T343" i="3"/>
  <c r="S343" i="3"/>
  <c r="B343" i="3"/>
  <c r="AS342" i="3"/>
  <c r="AH342" i="3"/>
  <c r="AG342" i="3" s="1"/>
  <c r="U342" i="3" s="1"/>
  <c r="AA342" i="3"/>
  <c r="Y342" i="3" s="1"/>
  <c r="T342" i="3"/>
  <c r="S342" i="3"/>
  <c r="B342" i="3"/>
  <c r="AS341" i="3"/>
  <c r="AH341" i="3"/>
  <c r="AG341" i="3" s="1"/>
  <c r="U341" i="3" s="1"/>
  <c r="AA341" i="3"/>
  <c r="Y341" i="3" s="1"/>
  <c r="T341" i="3"/>
  <c r="S341" i="3"/>
  <c r="B341" i="3"/>
  <c r="AS340" i="3"/>
  <c r="AH340" i="3"/>
  <c r="AA340" i="3"/>
  <c r="R340" i="3"/>
  <c r="Q340" i="3"/>
  <c r="L340" i="3"/>
  <c r="K340" i="3"/>
  <c r="J340" i="3"/>
  <c r="I340" i="3"/>
  <c r="T340" i="3" s="1"/>
  <c r="AS339" i="3"/>
  <c r="AH339" i="3"/>
  <c r="AA339" i="3"/>
  <c r="Y339" i="3" s="1"/>
  <c r="U339" i="3" s="1"/>
  <c r="T339" i="3"/>
  <c r="S339" i="3"/>
  <c r="B339" i="3"/>
  <c r="AS338" i="3"/>
  <c r="AH338" i="3"/>
  <c r="AA338" i="3"/>
  <c r="Y338" i="3" s="1"/>
  <c r="U338" i="3" s="1"/>
  <c r="T338" i="3"/>
  <c r="S338" i="3"/>
  <c r="B338" i="3"/>
  <c r="AS337" i="3"/>
  <c r="AH337" i="3"/>
  <c r="AG337" i="3" s="1"/>
  <c r="U337" i="3" s="1"/>
  <c r="AA337" i="3"/>
  <c r="Y337" i="3" s="1"/>
  <c r="T337" i="3"/>
  <c r="S337" i="3"/>
  <c r="B337" i="3"/>
  <c r="AS336" i="3"/>
  <c r="AH336" i="3"/>
  <c r="AA336" i="3"/>
  <c r="Y336" i="3" s="1"/>
  <c r="T336" i="3"/>
  <c r="V336" i="3" s="1"/>
  <c r="S336" i="3"/>
  <c r="B336" i="3"/>
  <c r="AS335" i="3"/>
  <c r="AH335" i="3"/>
  <c r="AA335" i="3"/>
  <c r="Y335" i="3" s="1"/>
  <c r="T335" i="3"/>
  <c r="V335" i="3" s="1"/>
  <c r="S335" i="3"/>
  <c r="B335" i="3"/>
  <c r="AS334" i="3"/>
  <c r="AH334" i="3"/>
  <c r="AA334" i="3"/>
  <c r="Y334" i="3" s="1"/>
  <c r="T334" i="3"/>
  <c r="V334" i="3" s="1"/>
  <c r="S334" i="3"/>
  <c r="B334" i="3"/>
  <c r="AS333" i="3"/>
  <c r="AH333" i="3"/>
  <c r="AA333" i="3"/>
  <c r="R333" i="3"/>
  <c r="Q333" i="3"/>
  <c r="L333" i="3"/>
  <c r="K333" i="3"/>
  <c r="J333" i="3"/>
  <c r="I333" i="3"/>
  <c r="T333" i="3" s="1"/>
  <c r="AS332" i="3"/>
  <c r="AH332" i="3"/>
  <c r="AG332" i="3" s="1"/>
  <c r="U332" i="3" s="1"/>
  <c r="AA332" i="3"/>
  <c r="Y332" i="3" s="1"/>
  <c r="T332" i="3"/>
  <c r="S332" i="3"/>
  <c r="B332" i="3"/>
  <c r="AS331" i="3"/>
  <c r="AH331" i="3"/>
  <c r="AA331" i="3"/>
  <c r="Y331" i="3" s="1"/>
  <c r="U331" i="3" s="1"/>
  <c r="T331" i="3"/>
  <c r="S331" i="3"/>
  <c r="B331" i="3"/>
  <c r="AS330" i="3"/>
  <c r="AH330" i="3"/>
  <c r="AA330" i="3"/>
  <c r="Y330" i="3" s="1"/>
  <c r="U330" i="3" s="1"/>
  <c r="T330" i="3"/>
  <c r="S330" i="3"/>
  <c r="B330" i="3"/>
  <c r="AS329" i="3"/>
  <c r="AH329" i="3"/>
  <c r="AA329" i="3"/>
  <c r="Y329" i="3" s="1"/>
  <c r="U329" i="3" s="1"/>
  <c r="T329" i="3"/>
  <c r="S329" i="3"/>
  <c r="B329" i="3"/>
  <c r="AS328" i="3"/>
  <c r="AH328" i="3"/>
  <c r="AA328" i="3"/>
  <c r="Y328" i="3" s="1"/>
  <c r="U328" i="3" s="1"/>
  <c r="T328" i="3"/>
  <c r="S328" i="3"/>
  <c r="B328" i="3"/>
  <c r="AS327" i="3"/>
  <c r="AH327" i="3"/>
  <c r="AA327" i="3"/>
  <c r="Y327" i="3" s="1"/>
  <c r="U327" i="3" s="1"/>
  <c r="T327" i="3"/>
  <c r="S327" i="3"/>
  <c r="B327" i="3"/>
  <c r="AS326" i="3"/>
  <c r="AH326" i="3"/>
  <c r="AA326" i="3"/>
  <c r="Y326" i="3" s="1"/>
  <c r="T326" i="3"/>
  <c r="V326" i="3" s="1"/>
  <c r="S326" i="3"/>
  <c r="B326" i="3"/>
  <c r="AS325" i="3"/>
  <c r="AH325" i="3"/>
  <c r="AG325" i="3" s="1"/>
  <c r="U325" i="3" s="1"/>
  <c r="AA325" i="3"/>
  <c r="Y325" i="3" s="1"/>
  <c r="T325" i="3"/>
  <c r="S325" i="3"/>
  <c r="B325" i="3"/>
  <c r="AS324" i="3"/>
  <c r="AH324" i="3"/>
  <c r="AA324" i="3"/>
  <c r="Y324" i="3" s="1"/>
  <c r="T324" i="3"/>
  <c r="V324" i="3" s="1"/>
  <c r="S324" i="3"/>
  <c r="B324" i="3"/>
  <c r="AS323" i="3"/>
  <c r="AH323" i="3"/>
  <c r="AG323" i="3" s="1"/>
  <c r="U323" i="3" s="1"/>
  <c r="AA323" i="3"/>
  <c r="Y323" i="3" s="1"/>
  <c r="T323" i="3"/>
  <c r="S323" i="3"/>
  <c r="B323" i="3"/>
  <c r="AS322" i="3"/>
  <c r="AH322" i="3"/>
  <c r="AA322" i="3"/>
  <c r="Y322" i="3" s="1"/>
  <c r="U322" i="3" s="1"/>
  <c r="T322" i="3"/>
  <c r="S322" i="3"/>
  <c r="B322" i="3"/>
  <c r="AS321" i="3"/>
  <c r="AH321" i="3"/>
  <c r="AA321" i="3"/>
  <c r="Y321" i="3" s="1"/>
  <c r="U321" i="3" s="1"/>
  <c r="T321" i="3"/>
  <c r="S321" i="3"/>
  <c r="B321" i="3"/>
  <c r="AS320" i="3"/>
  <c r="AH320" i="3"/>
  <c r="AA320" i="3"/>
  <c r="Y320" i="3" s="1"/>
  <c r="U320" i="3" s="1"/>
  <c r="T320" i="3"/>
  <c r="S320" i="3"/>
  <c r="B320" i="3"/>
  <c r="AS319" i="3"/>
  <c r="AH319" i="3"/>
  <c r="AA319" i="3"/>
  <c r="Y319" i="3" s="1"/>
  <c r="U319" i="3" s="1"/>
  <c r="T319" i="3"/>
  <c r="S319" i="3"/>
  <c r="B319" i="3"/>
  <c r="AS318" i="3"/>
  <c r="AH318" i="3"/>
  <c r="AG318" i="3" s="1"/>
  <c r="U318" i="3" s="1"/>
  <c r="AA318" i="3"/>
  <c r="Y318" i="3" s="1"/>
  <c r="T318" i="3"/>
  <c r="S318" i="3"/>
  <c r="B318" i="3"/>
  <c r="AS317" i="3"/>
  <c r="AH317" i="3"/>
  <c r="AA317" i="3"/>
  <c r="Y317" i="3" s="1"/>
  <c r="U317" i="3" s="1"/>
  <c r="T317" i="3"/>
  <c r="S317" i="3"/>
  <c r="B317" i="3"/>
  <c r="AS316" i="3"/>
  <c r="AH316" i="3"/>
  <c r="AA316" i="3"/>
  <c r="R316" i="3"/>
  <c r="Q316" i="3"/>
  <c r="L316" i="3"/>
  <c r="K316" i="3"/>
  <c r="J316" i="3"/>
  <c r="I316" i="3"/>
  <c r="T316" i="3" s="1"/>
  <c r="AS315" i="3"/>
  <c r="AH315" i="3"/>
  <c r="AA315" i="3"/>
  <c r="Y315" i="3" s="1"/>
  <c r="U315" i="3" s="1"/>
  <c r="T315" i="3"/>
  <c r="S315" i="3"/>
  <c r="B315" i="3"/>
  <c r="AS314" i="3"/>
  <c r="AH314" i="3"/>
  <c r="AA314" i="3"/>
  <c r="Y314" i="3" s="1"/>
  <c r="U314" i="3" s="1"/>
  <c r="T314" i="3"/>
  <c r="S314" i="3"/>
  <c r="B314" i="3"/>
  <c r="AS313" i="3"/>
  <c r="AH313" i="3"/>
  <c r="AA313" i="3"/>
  <c r="Y313" i="3" s="1"/>
  <c r="U313" i="3" s="1"/>
  <c r="T313" i="3"/>
  <c r="S313" i="3"/>
  <c r="B313" i="3"/>
  <c r="AS312" i="3"/>
  <c r="AH312" i="3"/>
  <c r="AG312" i="3" s="1"/>
  <c r="U312" i="3" s="1"/>
  <c r="AA312" i="3"/>
  <c r="Y312" i="3" s="1"/>
  <c r="T312" i="3"/>
  <c r="S312" i="3"/>
  <c r="B312" i="3"/>
  <c r="AS311" i="3"/>
  <c r="AH311" i="3"/>
  <c r="AG311" i="3" s="1"/>
  <c r="U311" i="3" s="1"/>
  <c r="AA311" i="3"/>
  <c r="Y311" i="3" s="1"/>
  <c r="T311" i="3"/>
  <c r="S311" i="3"/>
  <c r="B311" i="3"/>
  <c r="AS310" i="3"/>
  <c r="AR310" i="3" s="1"/>
  <c r="U310" i="3" s="1"/>
  <c r="AH310" i="3"/>
  <c r="AA310" i="3"/>
  <c r="Y310" i="3" s="1"/>
  <c r="T310" i="3"/>
  <c r="S310" i="3"/>
  <c r="B310" i="3"/>
  <c r="AS309" i="3"/>
  <c r="AH309" i="3"/>
  <c r="AA309" i="3"/>
  <c r="Y309" i="3" s="1"/>
  <c r="U309" i="3" s="1"/>
  <c r="T309" i="3"/>
  <c r="S309" i="3"/>
  <c r="B309" i="3"/>
  <c r="AS308" i="3"/>
  <c r="AH308" i="3"/>
  <c r="AA308" i="3"/>
  <c r="Y308" i="3" s="1"/>
  <c r="U308" i="3" s="1"/>
  <c r="T308" i="3"/>
  <c r="S308" i="3"/>
  <c r="B308" i="3"/>
  <c r="AS307" i="3"/>
  <c r="AH307" i="3"/>
  <c r="AG307" i="3" s="1"/>
  <c r="AA307" i="3"/>
  <c r="Y307" i="3" s="1"/>
  <c r="T307" i="3"/>
  <c r="S307" i="3"/>
  <c r="B307" i="3"/>
  <c r="AS306" i="3"/>
  <c r="AH306" i="3"/>
  <c r="AA306" i="3"/>
  <c r="Y306" i="3" s="1"/>
  <c r="T306" i="3"/>
  <c r="S306" i="3"/>
  <c r="B306" i="3"/>
  <c r="AS305" i="3"/>
  <c r="AH305" i="3"/>
  <c r="AA305" i="3"/>
  <c r="Y305" i="3" s="1"/>
  <c r="U305" i="3" s="1"/>
  <c r="T305" i="3"/>
  <c r="S305" i="3"/>
  <c r="B305" i="3"/>
  <c r="AS304" i="3"/>
  <c r="AR304" i="3" s="1"/>
  <c r="AH304" i="3"/>
  <c r="AA304" i="3"/>
  <c r="Y304" i="3" s="1"/>
  <c r="T304" i="3"/>
  <c r="U304" i="3" s="1"/>
  <c r="V304" i="3" s="1"/>
  <c r="S304" i="3"/>
  <c r="B304" i="3"/>
  <c r="AS303" i="3"/>
  <c r="AH303" i="3"/>
  <c r="AA303" i="3"/>
  <c r="Y303" i="3" s="1"/>
  <c r="U303" i="3" s="1"/>
  <c r="T303" i="3"/>
  <c r="S303" i="3"/>
  <c r="B303" i="3"/>
  <c r="AS302" i="3"/>
  <c r="AH302" i="3"/>
  <c r="AA302" i="3"/>
  <c r="Y302" i="3" s="1"/>
  <c r="U302" i="3" s="1"/>
  <c r="T302" i="3"/>
  <c r="S302" i="3"/>
  <c r="B302" i="3"/>
  <c r="AS301" i="3"/>
  <c r="AH301" i="3"/>
  <c r="AA301" i="3"/>
  <c r="Y301" i="3" s="1"/>
  <c r="U301" i="3" s="1"/>
  <c r="T301" i="3"/>
  <c r="S301" i="3"/>
  <c r="B301" i="3"/>
  <c r="AS300" i="3"/>
  <c r="AH300" i="3"/>
  <c r="AA300" i="3"/>
  <c r="Y300" i="3" s="1"/>
  <c r="T300" i="3"/>
  <c r="S300" i="3"/>
  <c r="B300" i="3"/>
  <c r="AS299" i="3"/>
  <c r="AH299" i="3"/>
  <c r="AA299" i="3"/>
  <c r="Y299" i="3" s="1"/>
  <c r="T299" i="3"/>
  <c r="S299" i="3"/>
  <c r="B299" i="3"/>
  <c r="AS298" i="3"/>
  <c r="AH298" i="3"/>
  <c r="AA298" i="3"/>
  <c r="R298" i="3"/>
  <c r="Q298" i="3"/>
  <c r="L298" i="3"/>
  <c r="K298" i="3"/>
  <c r="J298" i="3"/>
  <c r="I298" i="3"/>
  <c r="T298" i="3" s="1"/>
  <c r="AS297" i="3"/>
  <c r="AH297" i="3"/>
  <c r="AA297" i="3"/>
  <c r="Y297" i="3" s="1"/>
  <c r="T297" i="3"/>
  <c r="U297" i="3" s="1"/>
  <c r="V297" i="3" s="1"/>
  <c r="S297" i="3"/>
  <c r="S296" i="3" s="1"/>
  <c r="B297" i="3"/>
  <c r="AS296" i="3"/>
  <c r="AH296" i="3"/>
  <c r="AA296" i="3"/>
  <c r="R296" i="3"/>
  <c r="Q296" i="3"/>
  <c r="L296" i="3"/>
  <c r="K296" i="3"/>
  <c r="J296" i="3"/>
  <c r="I296" i="3"/>
  <c r="AS295" i="3"/>
  <c r="AH295" i="3"/>
  <c r="AA295" i="3"/>
  <c r="Y295" i="3" s="1"/>
  <c r="T295" i="3"/>
  <c r="V295" i="3" s="1"/>
  <c r="S295" i="3"/>
  <c r="B295" i="3"/>
  <c r="AS294" i="3"/>
  <c r="AH294" i="3"/>
  <c r="AA294" i="3"/>
  <c r="Y294" i="3" s="1"/>
  <c r="T294" i="3"/>
  <c r="V294" i="3" s="1"/>
  <c r="S294" i="3"/>
  <c r="B294" i="3"/>
  <c r="AS293" i="3"/>
  <c r="AH293" i="3"/>
  <c r="AA293" i="3"/>
  <c r="Y293" i="3" s="1"/>
  <c r="T293" i="3"/>
  <c r="V293" i="3" s="1"/>
  <c r="S293" i="3"/>
  <c r="B293" i="3"/>
  <c r="AS292" i="3"/>
  <c r="AH292" i="3"/>
  <c r="AA292" i="3"/>
  <c r="Y292" i="3" s="1"/>
  <c r="T292" i="3"/>
  <c r="V292" i="3" s="1"/>
  <c r="S292" i="3"/>
  <c r="B292" i="3"/>
  <c r="AS291" i="3"/>
  <c r="AH291" i="3"/>
  <c r="AA291" i="3"/>
  <c r="Y291" i="3" s="1"/>
  <c r="T291" i="3"/>
  <c r="S291" i="3"/>
  <c r="B291" i="3"/>
  <c r="AS290" i="3"/>
  <c r="AH290" i="3"/>
  <c r="AA290" i="3"/>
  <c r="R290" i="3"/>
  <c r="Q290" i="3"/>
  <c r="L290" i="3"/>
  <c r="K290" i="3"/>
  <c r="J290" i="3"/>
  <c r="I290" i="3"/>
  <c r="T290" i="3" s="1"/>
  <c r="AS289" i="3"/>
  <c r="AH289" i="3"/>
  <c r="AA289" i="3"/>
  <c r="Y289" i="3" s="1"/>
  <c r="T289" i="3"/>
  <c r="V289" i="3" s="1"/>
  <c r="S289" i="3"/>
  <c r="B289" i="3"/>
  <c r="AS288" i="3"/>
  <c r="AH288" i="3"/>
  <c r="AA288" i="3"/>
  <c r="Y288" i="3" s="1"/>
  <c r="T288" i="3"/>
  <c r="V288" i="3" s="1"/>
  <c r="S288" i="3"/>
  <c r="B288" i="3"/>
  <c r="AS287" i="3"/>
  <c r="AH287" i="3"/>
  <c r="AG287" i="3" s="1"/>
  <c r="U287" i="3" s="1"/>
  <c r="AA287" i="3"/>
  <c r="Y287" i="3" s="1"/>
  <c r="T287" i="3"/>
  <c r="S287" i="3"/>
  <c r="B287" i="3"/>
  <c r="AS286" i="3"/>
  <c r="AH286" i="3"/>
  <c r="AG286" i="3" s="1"/>
  <c r="U286" i="3" s="1"/>
  <c r="AA286" i="3"/>
  <c r="Y286" i="3" s="1"/>
  <c r="T286" i="3"/>
  <c r="S286" i="3"/>
  <c r="B286" i="3"/>
  <c r="AS285" i="3"/>
  <c r="AH285" i="3"/>
  <c r="AG285" i="3" s="1"/>
  <c r="U285" i="3" s="1"/>
  <c r="AA285" i="3"/>
  <c r="Y285" i="3" s="1"/>
  <c r="T285" i="3"/>
  <c r="S285" i="3"/>
  <c r="B285" i="3"/>
  <c r="AS284" i="3"/>
  <c r="AH284" i="3"/>
  <c r="AA284" i="3"/>
  <c r="R284" i="3"/>
  <c r="Q284" i="3"/>
  <c r="L284" i="3"/>
  <c r="K284" i="3"/>
  <c r="J284" i="3"/>
  <c r="I284" i="3"/>
  <c r="T284" i="3" s="1"/>
  <c r="AS283" i="3"/>
  <c r="AH283" i="3"/>
  <c r="AA283" i="3"/>
  <c r="Y283" i="3" s="1"/>
  <c r="U283" i="3" s="1"/>
  <c r="T283" i="3"/>
  <c r="S283" i="3"/>
  <c r="B283" i="3"/>
  <c r="AS282" i="3"/>
  <c r="AH282" i="3"/>
  <c r="AA282" i="3"/>
  <c r="Y282" i="3" s="1"/>
  <c r="U282" i="3" s="1"/>
  <c r="T282" i="3"/>
  <c r="S282" i="3"/>
  <c r="B282" i="3"/>
  <c r="AS281" i="3"/>
  <c r="AH281" i="3"/>
  <c r="AA281" i="3"/>
  <c r="R281" i="3"/>
  <c r="Q281" i="3"/>
  <c r="L281" i="3"/>
  <c r="K281" i="3"/>
  <c r="J281" i="3"/>
  <c r="I281" i="3"/>
  <c r="T281" i="3" s="1"/>
  <c r="AS280" i="3"/>
  <c r="AH280" i="3"/>
  <c r="AA280" i="3"/>
  <c r="Y280" i="3" s="1"/>
  <c r="T280" i="3"/>
  <c r="V280" i="3" s="1"/>
  <c r="S280" i="3"/>
  <c r="S279" i="3" s="1"/>
  <c r="B280" i="3"/>
  <c r="AS279" i="3"/>
  <c r="AH279" i="3"/>
  <c r="AA279" i="3"/>
  <c r="U279" i="3"/>
  <c r="R279" i="3"/>
  <c r="Q279" i="3"/>
  <c r="L279" i="3"/>
  <c r="K279" i="3"/>
  <c r="J279" i="3"/>
  <c r="I279" i="3"/>
  <c r="T279" i="3" s="1"/>
  <c r="AS278" i="3"/>
  <c r="AH278" i="3"/>
  <c r="AA278" i="3"/>
  <c r="Y278" i="3" s="1"/>
  <c r="U278" i="3" s="1"/>
  <c r="T278" i="3"/>
  <c r="S278" i="3"/>
  <c r="B278" i="3"/>
  <c r="AS277" i="3"/>
  <c r="AH277" i="3"/>
  <c r="AA277" i="3"/>
  <c r="Y277" i="3" s="1"/>
  <c r="U277" i="3" s="1"/>
  <c r="T277" i="3"/>
  <c r="S277" i="3"/>
  <c r="B277" i="3"/>
  <c r="AS276" i="3"/>
  <c r="AH276" i="3"/>
  <c r="AA276" i="3"/>
  <c r="Y276" i="3" s="1"/>
  <c r="T276" i="3"/>
  <c r="V276" i="3" s="1"/>
  <c r="S276" i="3"/>
  <c r="B276" i="3"/>
  <c r="AS275" i="3"/>
  <c r="AH275" i="3"/>
  <c r="AA275" i="3"/>
  <c r="Y275" i="3" s="1"/>
  <c r="U275" i="3" s="1"/>
  <c r="T275" i="3"/>
  <c r="S275" i="3"/>
  <c r="B275" i="3"/>
  <c r="AS274" i="3"/>
  <c r="AH274" i="3"/>
  <c r="AA274" i="3"/>
  <c r="R274" i="3"/>
  <c r="Q274" i="3"/>
  <c r="L274" i="3"/>
  <c r="K274" i="3"/>
  <c r="J274" i="3"/>
  <c r="I274" i="3"/>
  <c r="T274" i="3" s="1"/>
  <c r="AS273" i="3"/>
  <c r="AH273" i="3"/>
  <c r="AA273" i="3"/>
  <c r="Y273" i="3" s="1"/>
  <c r="U273" i="3" s="1"/>
  <c r="T273" i="3"/>
  <c r="S273" i="3"/>
  <c r="K273" i="3"/>
  <c r="K267" i="3" s="1"/>
  <c r="B273" i="3"/>
  <c r="AS272" i="3"/>
  <c r="AH272" i="3"/>
  <c r="AA272" i="3"/>
  <c r="Y272" i="3" s="1"/>
  <c r="T272" i="3"/>
  <c r="U272" i="3" s="1"/>
  <c r="V272" i="3" s="1"/>
  <c r="S272" i="3"/>
  <c r="B272" i="3"/>
  <c r="AS271" i="3"/>
  <c r="AH271" i="3"/>
  <c r="AG271" i="3" s="1"/>
  <c r="U271" i="3" s="1"/>
  <c r="AA271" i="3"/>
  <c r="Y271" i="3" s="1"/>
  <c r="T271" i="3"/>
  <c r="S271" i="3"/>
  <c r="B271" i="3"/>
  <c r="AS270" i="3"/>
  <c r="AH270" i="3"/>
  <c r="AA270" i="3"/>
  <c r="Y270" i="3" s="1"/>
  <c r="U270" i="3" s="1"/>
  <c r="T270" i="3"/>
  <c r="S270" i="3"/>
  <c r="B270" i="3"/>
  <c r="AS269" i="3"/>
  <c r="AH269" i="3"/>
  <c r="AA269" i="3"/>
  <c r="Y269" i="3" s="1"/>
  <c r="U269" i="3" s="1"/>
  <c r="T269" i="3"/>
  <c r="S269" i="3"/>
  <c r="B269" i="3"/>
  <c r="AS268" i="3"/>
  <c r="AH268" i="3"/>
  <c r="AG268" i="3" s="1"/>
  <c r="AA268" i="3"/>
  <c r="Y268" i="3" s="1"/>
  <c r="T268" i="3"/>
  <c r="S268" i="3"/>
  <c r="B268" i="3"/>
  <c r="AS267" i="3"/>
  <c r="AH267" i="3"/>
  <c r="AA267" i="3"/>
  <c r="R267" i="3"/>
  <c r="Q267" i="3"/>
  <c r="L267" i="3"/>
  <c r="J267" i="3"/>
  <c r="I267" i="3"/>
  <c r="T267" i="3" s="1"/>
  <c r="AS266" i="3"/>
  <c r="AH266" i="3"/>
  <c r="AA266" i="3"/>
  <c r="Y266" i="3" s="1"/>
  <c r="U266" i="3" s="1"/>
  <c r="T266" i="3"/>
  <c r="S266" i="3"/>
  <c r="B266" i="3"/>
  <c r="AS265" i="3"/>
  <c r="AH265" i="3"/>
  <c r="AA265" i="3"/>
  <c r="Y265" i="3" s="1"/>
  <c r="U265" i="3" s="1"/>
  <c r="T265" i="3"/>
  <c r="S265" i="3"/>
  <c r="B265" i="3"/>
  <c r="AS264" i="3"/>
  <c r="AH264" i="3"/>
  <c r="AA264" i="3"/>
  <c r="Y264" i="3" s="1"/>
  <c r="U264" i="3" s="1"/>
  <c r="T264" i="3"/>
  <c r="S264" i="3"/>
  <c r="B264" i="3"/>
  <c r="AS263" i="3"/>
  <c r="AH263" i="3"/>
  <c r="AA263" i="3"/>
  <c r="Y263" i="3" s="1"/>
  <c r="T263" i="3"/>
  <c r="V263" i="3" s="1"/>
  <c r="S263" i="3"/>
  <c r="B263" i="3"/>
  <c r="AS262" i="3"/>
  <c r="AH262" i="3"/>
  <c r="AA262" i="3"/>
  <c r="Y262" i="3" s="1"/>
  <c r="U262" i="3" s="1"/>
  <c r="T262" i="3"/>
  <c r="S262" i="3"/>
  <c r="B262" i="3"/>
  <c r="AS261" i="3"/>
  <c r="AH261" i="3"/>
  <c r="AA261" i="3"/>
  <c r="Y261" i="3" s="1"/>
  <c r="T261" i="3"/>
  <c r="U261" i="3" s="1"/>
  <c r="V261" i="3" s="1"/>
  <c r="S261" i="3"/>
  <c r="B261" i="3"/>
  <c r="AS260" i="3"/>
  <c r="AH260" i="3"/>
  <c r="AA260" i="3"/>
  <c r="Y260" i="3" s="1"/>
  <c r="T260" i="3"/>
  <c r="U260" i="3" s="1"/>
  <c r="S260" i="3"/>
  <c r="B260" i="3"/>
  <c r="AS259" i="3"/>
  <c r="AH259" i="3"/>
  <c r="AA259" i="3"/>
  <c r="R259" i="3"/>
  <c r="Q259" i="3"/>
  <c r="L259" i="3"/>
  <c r="K259" i="3"/>
  <c r="J259" i="3"/>
  <c r="I259" i="3"/>
  <c r="T259" i="3" s="1"/>
  <c r="AS258" i="3"/>
  <c r="AH258" i="3"/>
  <c r="AA258" i="3"/>
  <c r="Y258" i="3" s="1"/>
  <c r="T258" i="3"/>
  <c r="U258" i="3" s="1"/>
  <c r="V258" i="3" s="1"/>
  <c r="S258" i="3"/>
  <c r="K258" i="3"/>
  <c r="K231" i="3" s="1"/>
  <c r="B258" i="3"/>
  <c r="AS257" i="3"/>
  <c r="AH257" i="3"/>
  <c r="AA257" i="3"/>
  <c r="Y257" i="3" s="1"/>
  <c r="T257" i="3"/>
  <c r="U257" i="3" s="1"/>
  <c r="V257" i="3" s="1"/>
  <c r="S257" i="3"/>
  <c r="B257" i="3"/>
  <c r="AS256" i="3"/>
  <c r="AH256" i="3"/>
  <c r="AA256" i="3"/>
  <c r="Y256" i="3" s="1"/>
  <c r="T256" i="3"/>
  <c r="U256" i="3" s="1"/>
  <c r="V256" i="3" s="1"/>
  <c r="S256" i="3"/>
  <c r="B256" i="3"/>
  <c r="AS255" i="3"/>
  <c r="AH255" i="3"/>
  <c r="AA255" i="3"/>
  <c r="Y255" i="3" s="1"/>
  <c r="T255" i="3"/>
  <c r="U255" i="3" s="1"/>
  <c r="V255" i="3" s="1"/>
  <c r="S255" i="3"/>
  <c r="B255" i="3"/>
  <c r="AS254" i="3"/>
  <c r="AH254" i="3"/>
  <c r="AA254" i="3"/>
  <c r="Y254" i="3" s="1"/>
  <c r="U254" i="3" s="1"/>
  <c r="T254" i="3"/>
  <c r="S254" i="3"/>
  <c r="B254" i="3"/>
  <c r="AS253" i="3"/>
  <c r="AH253" i="3"/>
  <c r="AA253" i="3"/>
  <c r="Y253" i="3" s="1"/>
  <c r="T253" i="3"/>
  <c r="V253" i="3" s="1"/>
  <c r="S253" i="3"/>
  <c r="B253" i="3"/>
  <c r="AS252" i="3"/>
  <c r="AH252" i="3"/>
  <c r="AA252" i="3"/>
  <c r="Y252" i="3" s="1"/>
  <c r="U252" i="3" s="1"/>
  <c r="T252" i="3"/>
  <c r="S252" i="3"/>
  <c r="B252" i="3"/>
  <c r="AS251" i="3"/>
  <c r="AH251" i="3"/>
  <c r="AA251" i="3"/>
  <c r="Y251" i="3" s="1"/>
  <c r="U251" i="3" s="1"/>
  <c r="T251" i="3"/>
  <c r="S251" i="3"/>
  <c r="B251" i="3"/>
  <c r="AS250" i="3"/>
  <c r="AH250" i="3"/>
  <c r="AA250" i="3"/>
  <c r="Y250" i="3" s="1"/>
  <c r="T250" i="3"/>
  <c r="V250" i="3" s="1"/>
  <c r="S250" i="3"/>
  <c r="B250" i="3"/>
  <c r="AS249" i="3"/>
  <c r="AH249" i="3"/>
  <c r="AA249" i="3"/>
  <c r="Y249" i="3" s="1"/>
  <c r="U249" i="3" s="1"/>
  <c r="T249" i="3"/>
  <c r="S249" i="3"/>
  <c r="B249" i="3"/>
  <c r="AS248" i="3"/>
  <c r="AH248" i="3"/>
  <c r="AA248" i="3"/>
  <c r="Y248" i="3" s="1"/>
  <c r="T248" i="3"/>
  <c r="V248" i="3" s="1"/>
  <c r="S248" i="3"/>
  <c r="B248" i="3"/>
  <c r="AS247" i="3"/>
  <c r="AH247" i="3"/>
  <c r="AA247" i="3"/>
  <c r="Y247" i="3" s="1"/>
  <c r="U247" i="3" s="1"/>
  <c r="T247" i="3"/>
  <c r="S247" i="3"/>
  <c r="B247" i="3"/>
  <c r="AS246" i="3"/>
  <c r="AH246" i="3"/>
  <c r="AG246" i="3" s="1"/>
  <c r="U246" i="3" s="1"/>
  <c r="AA246" i="3"/>
  <c r="Y246" i="3" s="1"/>
  <c r="T246" i="3"/>
  <c r="S246" i="3"/>
  <c r="B246" i="3"/>
  <c r="AS245" i="3"/>
  <c r="AH245" i="3"/>
  <c r="AA245" i="3"/>
  <c r="Y245" i="3" s="1"/>
  <c r="T245" i="3"/>
  <c r="U245" i="3" s="1"/>
  <c r="V245" i="3" s="1"/>
  <c r="S245" i="3"/>
  <c r="B245" i="3"/>
  <c r="AS244" i="3"/>
  <c r="AH244" i="3"/>
  <c r="AA244" i="3"/>
  <c r="Y244" i="3" s="1"/>
  <c r="T244" i="3"/>
  <c r="U244" i="3" s="1"/>
  <c r="V244" i="3" s="1"/>
  <c r="S244" i="3"/>
  <c r="B244" i="3"/>
  <c r="AS243" i="3"/>
  <c r="AH243" i="3"/>
  <c r="AA243" i="3"/>
  <c r="Y243" i="3" s="1"/>
  <c r="U243" i="3" s="1"/>
  <c r="T243" i="3"/>
  <c r="S243" i="3"/>
  <c r="B243" i="3"/>
  <c r="AS242" i="3"/>
  <c r="AH242" i="3"/>
  <c r="AA242" i="3"/>
  <c r="Y242" i="3" s="1"/>
  <c r="T242" i="3"/>
  <c r="U242" i="3" s="1"/>
  <c r="V242" i="3" s="1"/>
  <c r="S242" i="3"/>
  <c r="B242" i="3"/>
  <c r="AS241" i="3"/>
  <c r="AH241" i="3"/>
  <c r="AA241" i="3"/>
  <c r="Y241" i="3" s="1"/>
  <c r="U241" i="3" s="1"/>
  <c r="T241" i="3"/>
  <c r="S241" i="3"/>
  <c r="B241" i="3"/>
  <c r="AS240" i="3"/>
  <c r="AH240" i="3"/>
  <c r="AA240" i="3"/>
  <c r="Y240" i="3" s="1"/>
  <c r="U240" i="3" s="1"/>
  <c r="T240" i="3"/>
  <c r="S240" i="3"/>
  <c r="B240" i="3"/>
  <c r="AS239" i="3"/>
  <c r="AR239" i="3" s="1"/>
  <c r="U239" i="3" s="1"/>
  <c r="AH239" i="3"/>
  <c r="AA239" i="3"/>
  <c r="Y239" i="3" s="1"/>
  <c r="T239" i="3"/>
  <c r="S239" i="3"/>
  <c r="B239" i="3"/>
  <c r="AS238" i="3"/>
  <c r="AH238" i="3"/>
  <c r="AA238" i="3"/>
  <c r="Y238" i="3" s="1"/>
  <c r="U238" i="3" s="1"/>
  <c r="T238" i="3"/>
  <c r="S238" i="3"/>
  <c r="B238" i="3"/>
  <c r="AS237" i="3"/>
  <c r="AH237" i="3"/>
  <c r="AA237" i="3"/>
  <c r="Y237" i="3" s="1"/>
  <c r="T237" i="3"/>
  <c r="U237" i="3" s="1"/>
  <c r="V237" i="3" s="1"/>
  <c r="S237" i="3"/>
  <c r="B237" i="3"/>
  <c r="AS236" i="3"/>
  <c r="AH236" i="3"/>
  <c r="AA236" i="3"/>
  <c r="Y236" i="3" s="1"/>
  <c r="T236" i="3"/>
  <c r="U236" i="3" s="1"/>
  <c r="V236" i="3" s="1"/>
  <c r="S236" i="3"/>
  <c r="B236" i="3"/>
  <c r="AS235" i="3"/>
  <c r="AR235" i="3" s="1"/>
  <c r="U235" i="3" s="1"/>
  <c r="AH235" i="3"/>
  <c r="AA235" i="3"/>
  <c r="Y235" i="3" s="1"/>
  <c r="T235" i="3"/>
  <c r="S235" i="3"/>
  <c r="B235" i="3"/>
  <c r="AS234" i="3"/>
  <c r="AH234" i="3"/>
  <c r="AG234" i="3" s="1"/>
  <c r="U234" i="3" s="1"/>
  <c r="AA234" i="3"/>
  <c r="Y234" i="3" s="1"/>
  <c r="T234" i="3"/>
  <c r="S234" i="3"/>
  <c r="B234" i="3"/>
  <c r="AS233" i="3"/>
  <c r="AH233" i="3"/>
  <c r="AA233" i="3"/>
  <c r="Y233" i="3" s="1"/>
  <c r="T233" i="3"/>
  <c r="V233" i="3" s="1"/>
  <c r="S233" i="3"/>
  <c r="B233" i="3"/>
  <c r="AS232" i="3"/>
  <c r="AR232" i="3" s="1"/>
  <c r="AH232" i="3"/>
  <c r="AA232" i="3"/>
  <c r="Y232" i="3" s="1"/>
  <c r="T232" i="3"/>
  <c r="U232" i="3" s="1"/>
  <c r="V232" i="3" s="1"/>
  <c r="S232" i="3"/>
  <c r="B232" i="3"/>
  <c r="AS231" i="3"/>
  <c r="AH231" i="3"/>
  <c r="AA231" i="3"/>
  <c r="R231" i="3"/>
  <c r="Q231" i="3"/>
  <c r="L231" i="3"/>
  <c r="J231" i="3"/>
  <c r="I231" i="3"/>
  <c r="AS230" i="3"/>
  <c r="AR230" i="3" s="1"/>
  <c r="U230" i="3" s="1"/>
  <c r="AH230" i="3"/>
  <c r="AA230" i="3"/>
  <c r="Y230" i="3" s="1"/>
  <c r="T230" i="3"/>
  <c r="S230" i="3"/>
  <c r="B230" i="3"/>
  <c r="AS229" i="3"/>
  <c r="AR229" i="3" s="1"/>
  <c r="AH229" i="3"/>
  <c r="AA229" i="3"/>
  <c r="Y229" i="3" s="1"/>
  <c r="T229" i="3"/>
  <c r="U229" i="3" s="1"/>
  <c r="V229" i="3" s="1"/>
  <c r="S229" i="3"/>
  <c r="B229" i="3"/>
  <c r="AS228" i="3"/>
  <c r="AH228" i="3"/>
  <c r="AA228" i="3"/>
  <c r="Y228" i="3" s="1"/>
  <c r="T228" i="3"/>
  <c r="V228" i="3" s="1"/>
  <c r="S228" i="3"/>
  <c r="B228" i="3"/>
  <c r="AS227" i="3"/>
  <c r="AH227" i="3"/>
  <c r="AG227" i="3" s="1"/>
  <c r="U227" i="3" s="1"/>
  <c r="AA227" i="3"/>
  <c r="Y227" i="3" s="1"/>
  <c r="T227" i="3"/>
  <c r="S227" i="3"/>
  <c r="B227" i="3"/>
  <c r="AS226" i="3"/>
  <c r="AH226" i="3"/>
  <c r="AG226" i="3" s="1"/>
  <c r="U226" i="3" s="1"/>
  <c r="AA226" i="3"/>
  <c r="Y226" i="3" s="1"/>
  <c r="T226" i="3"/>
  <c r="S226" i="3"/>
  <c r="B226" i="3"/>
  <c r="AS225" i="3"/>
  <c r="AH225" i="3"/>
  <c r="AA225" i="3"/>
  <c r="Y225" i="3" s="1"/>
  <c r="T225" i="3"/>
  <c r="U225" i="3" s="1"/>
  <c r="S225" i="3"/>
  <c r="B225" i="3"/>
  <c r="AS224" i="3"/>
  <c r="AH224" i="3"/>
  <c r="AA224" i="3"/>
  <c r="R224" i="3"/>
  <c r="Q224" i="3"/>
  <c r="L224" i="3"/>
  <c r="K224" i="3"/>
  <c r="J224" i="3"/>
  <c r="I224" i="3"/>
  <c r="T224" i="3" s="1"/>
  <c r="AS223" i="3"/>
  <c r="AR223" i="3" s="1"/>
  <c r="AH223" i="3"/>
  <c r="AA223" i="3"/>
  <c r="Y223" i="3" s="1"/>
  <c r="V223" i="3"/>
  <c r="S223" i="3"/>
  <c r="B223" i="3"/>
  <c r="AS222" i="3"/>
  <c r="AR222" i="3" s="1"/>
  <c r="U222" i="3" s="1"/>
  <c r="AH222" i="3"/>
  <c r="AA222" i="3"/>
  <c r="Y222" i="3" s="1"/>
  <c r="T222" i="3"/>
  <c r="S222" i="3"/>
  <c r="B222" i="3"/>
  <c r="AS221" i="3"/>
  <c r="AR221" i="3" s="1"/>
  <c r="U221" i="3" s="1"/>
  <c r="AH221" i="3"/>
  <c r="AA221" i="3"/>
  <c r="Y221" i="3" s="1"/>
  <c r="T221" i="3"/>
  <c r="S221" i="3"/>
  <c r="B221" i="3"/>
  <c r="AS220" i="3"/>
  <c r="AR220" i="3" s="1"/>
  <c r="U220" i="3" s="1"/>
  <c r="AH220" i="3"/>
  <c r="AA220" i="3"/>
  <c r="Y220" i="3" s="1"/>
  <c r="T220" i="3"/>
  <c r="S220" i="3"/>
  <c r="B220" i="3"/>
  <c r="AS219" i="3"/>
  <c r="AR219" i="3" s="1"/>
  <c r="U219" i="3" s="1"/>
  <c r="AH219" i="3"/>
  <c r="AA219" i="3"/>
  <c r="Y219" i="3" s="1"/>
  <c r="T219" i="3"/>
  <c r="S219" i="3"/>
  <c r="B219" i="3"/>
  <c r="AS218" i="3"/>
  <c r="AR218" i="3" s="1"/>
  <c r="U218" i="3" s="1"/>
  <c r="AH218" i="3"/>
  <c r="AA218" i="3"/>
  <c r="Y218" i="3" s="1"/>
  <c r="T218" i="3"/>
  <c r="S218" i="3"/>
  <c r="B218" i="3"/>
  <c r="AS217" i="3"/>
  <c r="AR217" i="3" s="1"/>
  <c r="U217" i="3" s="1"/>
  <c r="AH217" i="3"/>
  <c r="AA217" i="3"/>
  <c r="Y217" i="3" s="1"/>
  <c r="T217" i="3"/>
  <c r="S217" i="3"/>
  <c r="B217" i="3"/>
  <c r="AS216" i="3"/>
  <c r="AR216" i="3" s="1"/>
  <c r="U216" i="3" s="1"/>
  <c r="AH216" i="3"/>
  <c r="AA216" i="3"/>
  <c r="Y216" i="3" s="1"/>
  <c r="T216" i="3"/>
  <c r="S216" i="3"/>
  <c r="B216" i="3"/>
  <c r="AS215" i="3"/>
  <c r="AR215" i="3" s="1"/>
  <c r="U215" i="3" s="1"/>
  <c r="AH215" i="3"/>
  <c r="AA215" i="3"/>
  <c r="Y215" i="3" s="1"/>
  <c r="T215" i="3"/>
  <c r="S215" i="3"/>
  <c r="B215" i="3"/>
  <c r="AS214" i="3"/>
  <c r="AR214" i="3" s="1"/>
  <c r="U214" i="3" s="1"/>
  <c r="AH214" i="3"/>
  <c r="AA214" i="3"/>
  <c r="Y214" i="3" s="1"/>
  <c r="T214" i="3"/>
  <c r="S214" i="3"/>
  <c r="B214" i="3"/>
  <c r="AS213" i="3"/>
  <c r="AH213" i="3"/>
  <c r="AA213" i="3"/>
  <c r="Y213" i="3" s="1"/>
  <c r="U213" i="3" s="1"/>
  <c r="T213" i="3"/>
  <c r="S213" i="3"/>
  <c r="B213" i="3"/>
  <c r="AS212" i="3"/>
  <c r="AR212" i="3" s="1"/>
  <c r="U212" i="3" s="1"/>
  <c r="AH212" i="3"/>
  <c r="AA212" i="3"/>
  <c r="Y212" i="3" s="1"/>
  <c r="T212" i="3"/>
  <c r="S212" i="3"/>
  <c r="B212" i="3"/>
  <c r="AS211" i="3"/>
  <c r="AH211" i="3"/>
  <c r="AG211" i="3" s="1"/>
  <c r="U211" i="3" s="1"/>
  <c r="AA211" i="3"/>
  <c r="Y211" i="3" s="1"/>
  <c r="T211" i="3"/>
  <c r="S211" i="3"/>
  <c r="B211" i="3"/>
  <c r="AS210" i="3"/>
  <c r="AH210" i="3"/>
  <c r="AG210" i="3" s="1"/>
  <c r="U210" i="3" s="1"/>
  <c r="AA210" i="3"/>
  <c r="Y210" i="3" s="1"/>
  <c r="T210" i="3"/>
  <c r="S210" i="3"/>
  <c r="B210" i="3"/>
  <c r="AS209" i="3"/>
  <c r="AR209" i="3" s="1"/>
  <c r="U209" i="3" s="1"/>
  <c r="AH209" i="3"/>
  <c r="AA209" i="3"/>
  <c r="Y209" i="3" s="1"/>
  <c r="T209" i="3"/>
  <c r="S209" i="3"/>
  <c r="B209" i="3"/>
  <c r="AS208" i="3"/>
  <c r="AH208" i="3"/>
  <c r="AG208" i="3" s="1"/>
  <c r="U208" i="3" s="1"/>
  <c r="AA208" i="3"/>
  <c r="Y208" i="3" s="1"/>
  <c r="T208" i="3"/>
  <c r="S208" i="3"/>
  <c r="B208" i="3"/>
  <c r="AS207" i="3"/>
  <c r="AH207" i="3"/>
  <c r="AA207" i="3"/>
  <c r="Y207" i="3" s="1"/>
  <c r="U207" i="3" s="1"/>
  <c r="T207" i="3"/>
  <c r="S207" i="3"/>
  <c r="B207" i="3"/>
  <c r="AS206" i="3"/>
  <c r="AH206" i="3"/>
  <c r="AA206" i="3"/>
  <c r="Y206" i="3" s="1"/>
  <c r="T206" i="3"/>
  <c r="V206" i="3" s="1"/>
  <c r="S206" i="3"/>
  <c r="B206" i="3"/>
  <c r="AS205" i="3"/>
  <c r="AH205" i="3"/>
  <c r="AA205" i="3"/>
  <c r="Y205" i="3" s="1"/>
  <c r="U205" i="3" s="1"/>
  <c r="T205" i="3"/>
  <c r="S205" i="3"/>
  <c r="B205" i="3"/>
  <c r="AS204" i="3"/>
  <c r="AH204" i="3"/>
  <c r="AA204" i="3"/>
  <c r="Y204" i="3" s="1"/>
  <c r="T204" i="3"/>
  <c r="V204" i="3" s="1"/>
  <c r="S204" i="3"/>
  <c r="B204" i="3"/>
  <c r="AS203" i="3"/>
  <c r="AH203" i="3"/>
  <c r="AG203" i="3" s="1"/>
  <c r="U203" i="3" s="1"/>
  <c r="AA203" i="3"/>
  <c r="Y203" i="3" s="1"/>
  <c r="T203" i="3"/>
  <c r="S203" i="3"/>
  <c r="B203" i="3"/>
  <c r="AS202" i="3"/>
  <c r="AH202" i="3"/>
  <c r="AA202" i="3"/>
  <c r="Y202" i="3" s="1"/>
  <c r="T202" i="3"/>
  <c r="U202" i="3" s="1"/>
  <c r="V202" i="3" s="1"/>
  <c r="S202" i="3"/>
  <c r="B202" i="3"/>
  <c r="AS201" i="3"/>
  <c r="AH201" i="3"/>
  <c r="AA201" i="3"/>
  <c r="Y201" i="3" s="1"/>
  <c r="U201" i="3" s="1"/>
  <c r="T201" i="3"/>
  <c r="S201" i="3"/>
  <c r="B201" i="3"/>
  <c r="AS200" i="3"/>
  <c r="AH200" i="3"/>
  <c r="AA200" i="3"/>
  <c r="Y200" i="3" s="1"/>
  <c r="T200" i="3"/>
  <c r="U200" i="3" s="1"/>
  <c r="V200" i="3" s="1"/>
  <c r="S200" i="3"/>
  <c r="B200" i="3"/>
  <c r="AS199" i="3"/>
  <c r="AH199" i="3"/>
  <c r="AA199" i="3"/>
  <c r="Y199" i="3" s="1"/>
  <c r="U199" i="3" s="1"/>
  <c r="T199" i="3"/>
  <c r="S199" i="3"/>
  <c r="B199" i="3"/>
  <c r="AS198" i="3"/>
  <c r="AH198" i="3"/>
  <c r="AA198" i="3"/>
  <c r="Y198" i="3" s="1"/>
  <c r="T198" i="3"/>
  <c r="V198" i="3" s="1"/>
  <c r="S198" i="3"/>
  <c r="B198" i="3"/>
  <c r="AS197" i="3"/>
  <c r="AR197" i="3" s="1"/>
  <c r="U197" i="3" s="1"/>
  <c r="AH197" i="3"/>
  <c r="AA197" i="3"/>
  <c r="Y197" i="3" s="1"/>
  <c r="T197" i="3"/>
  <c r="S197" i="3"/>
  <c r="B197" i="3"/>
  <c r="AS196" i="3"/>
  <c r="AR196" i="3" s="1"/>
  <c r="U196" i="3" s="1"/>
  <c r="AH196" i="3"/>
  <c r="AA196" i="3"/>
  <c r="Y196" i="3" s="1"/>
  <c r="T196" i="3"/>
  <c r="S196" i="3"/>
  <c r="B196" i="3"/>
  <c r="AS195" i="3"/>
  <c r="AR195" i="3" s="1"/>
  <c r="U195" i="3" s="1"/>
  <c r="AH195" i="3"/>
  <c r="AA195" i="3"/>
  <c r="Y195" i="3" s="1"/>
  <c r="T195" i="3"/>
  <c r="S195" i="3"/>
  <c r="B195" i="3"/>
  <c r="AS194" i="3"/>
  <c r="AR194" i="3" s="1"/>
  <c r="U194" i="3" s="1"/>
  <c r="AH194" i="3"/>
  <c r="AA194" i="3"/>
  <c r="Y194" i="3" s="1"/>
  <c r="T194" i="3"/>
  <c r="S194" i="3"/>
  <c r="B194" i="3"/>
  <c r="AS193" i="3"/>
  <c r="AH193" i="3"/>
  <c r="AA193" i="3"/>
  <c r="Y193" i="3" s="1"/>
  <c r="U193" i="3" s="1"/>
  <c r="T193" i="3"/>
  <c r="S193" i="3"/>
  <c r="B193" i="3"/>
  <c r="AS192" i="3"/>
  <c r="AH192" i="3"/>
  <c r="AA192" i="3"/>
  <c r="Y192" i="3" s="1"/>
  <c r="U192" i="3" s="1"/>
  <c r="T192" i="3"/>
  <c r="S192" i="3"/>
  <c r="B192" i="3"/>
  <c r="AS191" i="3"/>
  <c r="AH191" i="3"/>
  <c r="AG191" i="3" s="1"/>
  <c r="U191" i="3" s="1"/>
  <c r="AA191" i="3"/>
  <c r="Y191" i="3" s="1"/>
  <c r="T191" i="3"/>
  <c r="S191" i="3"/>
  <c r="B191" i="3"/>
  <c r="AS190" i="3"/>
  <c r="AH190" i="3"/>
  <c r="AA190" i="3"/>
  <c r="R190" i="3"/>
  <c r="Q190" i="3"/>
  <c r="L190" i="3"/>
  <c r="K190" i="3"/>
  <c r="J190" i="3"/>
  <c r="I190" i="3"/>
  <c r="T190" i="3" s="1"/>
  <c r="AS189" i="3"/>
  <c r="AH189" i="3"/>
  <c r="AA189" i="3"/>
  <c r="Y189" i="3" s="1"/>
  <c r="T189" i="3"/>
  <c r="U189" i="3" s="1"/>
  <c r="V189" i="3" s="1"/>
  <c r="S189" i="3"/>
  <c r="K189" i="3"/>
  <c r="K150" i="3" s="1"/>
  <c r="B189" i="3"/>
  <c r="AS188" i="3"/>
  <c r="AH188" i="3"/>
  <c r="AA188" i="3"/>
  <c r="Y188" i="3" s="1"/>
  <c r="U188" i="3" s="1"/>
  <c r="T188" i="3"/>
  <c r="S188" i="3"/>
  <c r="B188" i="3"/>
  <c r="AS187" i="3"/>
  <c r="AH187" i="3"/>
  <c r="AA187" i="3"/>
  <c r="Y187" i="3" s="1"/>
  <c r="U187" i="3" s="1"/>
  <c r="T187" i="3"/>
  <c r="S187" i="3"/>
  <c r="B187" i="3"/>
  <c r="AS186" i="3"/>
  <c r="AH186" i="3"/>
  <c r="AA186" i="3"/>
  <c r="Y186" i="3" s="1"/>
  <c r="U186" i="3" s="1"/>
  <c r="T186" i="3"/>
  <c r="S186" i="3"/>
  <c r="B186" i="3"/>
  <c r="AS185" i="3"/>
  <c r="AH185" i="3"/>
  <c r="AA185" i="3"/>
  <c r="Y185" i="3" s="1"/>
  <c r="T185" i="3"/>
  <c r="U185" i="3" s="1"/>
  <c r="V185" i="3" s="1"/>
  <c r="S185" i="3"/>
  <c r="B185" i="3"/>
  <c r="AS184" i="3"/>
  <c r="AH184" i="3"/>
  <c r="AA184" i="3"/>
  <c r="Y184" i="3" s="1"/>
  <c r="T184" i="3"/>
  <c r="U184" i="3" s="1"/>
  <c r="V184" i="3" s="1"/>
  <c r="S184" i="3"/>
  <c r="B184" i="3"/>
  <c r="AS183" i="3"/>
  <c r="AH183" i="3"/>
  <c r="AA183" i="3"/>
  <c r="Y183" i="3" s="1"/>
  <c r="T183" i="3"/>
  <c r="U183" i="3" s="1"/>
  <c r="V183" i="3" s="1"/>
  <c r="S183" i="3"/>
  <c r="B183" i="3"/>
  <c r="AS182" i="3"/>
  <c r="AH182" i="3"/>
  <c r="AA182" i="3"/>
  <c r="Y182" i="3" s="1"/>
  <c r="T182" i="3"/>
  <c r="U182" i="3" s="1"/>
  <c r="V182" i="3" s="1"/>
  <c r="S182" i="3"/>
  <c r="B182" i="3"/>
  <c r="AS181" i="3"/>
  <c r="AH181" i="3"/>
  <c r="AG181" i="3" s="1"/>
  <c r="U181" i="3" s="1"/>
  <c r="AA181" i="3"/>
  <c r="Y181" i="3" s="1"/>
  <c r="T181" i="3"/>
  <c r="S181" i="3"/>
  <c r="B181" i="3"/>
  <c r="AS180" i="3"/>
  <c r="AH180" i="3"/>
  <c r="AA180" i="3"/>
  <c r="Y180" i="3" s="1"/>
  <c r="T180" i="3"/>
  <c r="V180" i="3" s="1"/>
  <c r="S180" i="3"/>
  <c r="B180" i="3"/>
  <c r="AS179" i="3"/>
  <c r="AR179" i="3" s="1"/>
  <c r="U179" i="3" s="1"/>
  <c r="AH179" i="3"/>
  <c r="AA179" i="3"/>
  <c r="Y179" i="3" s="1"/>
  <c r="T179" i="3"/>
  <c r="S179" i="3"/>
  <c r="B179" i="3"/>
  <c r="AS178" i="3"/>
  <c r="AR178" i="3" s="1"/>
  <c r="U178" i="3" s="1"/>
  <c r="AH178" i="3"/>
  <c r="AA178" i="3"/>
  <c r="Y178" i="3" s="1"/>
  <c r="T178" i="3"/>
  <c r="S178" i="3"/>
  <c r="B178" i="3"/>
  <c r="AS177" i="3"/>
  <c r="AR177" i="3" s="1"/>
  <c r="U177" i="3" s="1"/>
  <c r="AH177" i="3"/>
  <c r="AA177" i="3"/>
  <c r="Y177" i="3" s="1"/>
  <c r="T177" i="3"/>
  <c r="S177" i="3"/>
  <c r="B177" i="3"/>
  <c r="AS176" i="3"/>
  <c r="AH176" i="3"/>
  <c r="AA176" i="3"/>
  <c r="Y176" i="3" s="1"/>
  <c r="T176" i="3"/>
  <c r="U176" i="3" s="1"/>
  <c r="V176" i="3" s="1"/>
  <c r="S176" i="3"/>
  <c r="B176" i="3"/>
  <c r="AS175" i="3"/>
  <c r="AH175" i="3"/>
  <c r="AA175" i="3"/>
  <c r="Y175" i="3" s="1"/>
  <c r="T175" i="3"/>
  <c r="V175" i="3" s="1"/>
  <c r="S175" i="3"/>
  <c r="B175" i="3"/>
  <c r="AS174" i="3"/>
  <c r="AH174" i="3"/>
  <c r="AA174" i="3"/>
  <c r="Y174" i="3" s="1"/>
  <c r="U174" i="3" s="1"/>
  <c r="T174" i="3"/>
  <c r="S174" i="3"/>
  <c r="B174" i="3"/>
  <c r="AS173" i="3"/>
  <c r="AH173" i="3"/>
  <c r="AA173" i="3"/>
  <c r="Y173" i="3" s="1"/>
  <c r="T173" i="3"/>
  <c r="V173" i="3" s="1"/>
  <c r="S173" i="3"/>
  <c r="B173" i="3"/>
  <c r="AS172" i="3"/>
  <c r="AR172" i="3" s="1"/>
  <c r="U172" i="3" s="1"/>
  <c r="AH172" i="3"/>
  <c r="AA172" i="3"/>
  <c r="Y172" i="3" s="1"/>
  <c r="T172" i="3"/>
  <c r="S172" i="3"/>
  <c r="B172" i="3"/>
  <c r="AS171" i="3"/>
  <c r="AH171" i="3"/>
  <c r="AA171" i="3"/>
  <c r="Y171" i="3" s="1"/>
  <c r="T171" i="3"/>
  <c r="V171" i="3" s="1"/>
  <c r="S171" i="3"/>
  <c r="B171" i="3"/>
  <c r="AS170" i="3"/>
  <c r="AH170" i="3"/>
  <c r="AA170" i="3"/>
  <c r="Y170" i="3" s="1"/>
  <c r="T170" i="3"/>
  <c r="U170" i="3" s="1"/>
  <c r="V170" i="3" s="1"/>
  <c r="S170" i="3"/>
  <c r="B170" i="3"/>
  <c r="AS169" i="3"/>
  <c r="AR169" i="3" s="1"/>
  <c r="U169" i="3" s="1"/>
  <c r="AH169" i="3"/>
  <c r="AA169" i="3"/>
  <c r="Y169" i="3" s="1"/>
  <c r="T169" i="3"/>
  <c r="S169" i="3"/>
  <c r="B169" i="3"/>
  <c r="AS168" i="3"/>
  <c r="AH168" i="3"/>
  <c r="AA168" i="3"/>
  <c r="Y168" i="3" s="1"/>
  <c r="U168" i="3" s="1"/>
  <c r="T168" i="3"/>
  <c r="S168" i="3"/>
  <c r="B168" i="3"/>
  <c r="AS167" i="3"/>
  <c r="AH167" i="3"/>
  <c r="AA167" i="3"/>
  <c r="Y167" i="3" s="1"/>
  <c r="T167" i="3"/>
  <c r="V167" i="3" s="1"/>
  <c r="S167" i="3"/>
  <c r="B167" i="3"/>
  <c r="AS166" i="3"/>
  <c r="AH166" i="3"/>
  <c r="AA166" i="3"/>
  <c r="Y166" i="3" s="1"/>
  <c r="U166" i="3" s="1"/>
  <c r="T166" i="3"/>
  <c r="S166" i="3"/>
  <c r="B166" i="3"/>
  <c r="AS165" i="3"/>
  <c r="AH165" i="3"/>
  <c r="AA165" i="3"/>
  <c r="Y165" i="3" s="1"/>
  <c r="T165" i="3"/>
  <c r="U165" i="3" s="1"/>
  <c r="V165" i="3" s="1"/>
  <c r="S165" i="3"/>
  <c r="B165" i="3"/>
  <c r="AS164" i="3"/>
  <c r="AH164" i="3"/>
  <c r="AA164" i="3"/>
  <c r="Y164" i="3" s="1"/>
  <c r="U164" i="3" s="1"/>
  <c r="T164" i="3"/>
  <c r="S164" i="3"/>
  <c r="B164" i="3"/>
  <c r="AS163" i="3"/>
  <c r="AH163" i="3"/>
  <c r="AA163" i="3"/>
  <c r="Y163" i="3" s="1"/>
  <c r="T163" i="3"/>
  <c r="V163" i="3" s="1"/>
  <c r="S163" i="3"/>
  <c r="B163" i="3"/>
  <c r="AS162" i="3"/>
  <c r="AH162" i="3"/>
  <c r="AA162" i="3"/>
  <c r="Y162" i="3" s="1"/>
  <c r="T162" i="3"/>
  <c r="U162" i="3" s="1"/>
  <c r="V162" i="3" s="1"/>
  <c r="S162" i="3"/>
  <c r="B162" i="3"/>
  <c r="AS161" i="3"/>
  <c r="AH161" i="3"/>
  <c r="AA161" i="3"/>
  <c r="Y161" i="3" s="1"/>
  <c r="U161" i="3" s="1"/>
  <c r="T161" i="3"/>
  <c r="S161" i="3"/>
  <c r="B161" i="3"/>
  <c r="AS160" i="3"/>
  <c r="AH160" i="3"/>
  <c r="AA160" i="3"/>
  <c r="Y160" i="3" s="1"/>
  <c r="U160" i="3" s="1"/>
  <c r="T160" i="3"/>
  <c r="S160" i="3"/>
  <c r="B160" i="3"/>
  <c r="AS159" i="3"/>
  <c r="AH159" i="3"/>
  <c r="AA159" i="3"/>
  <c r="Y159" i="3" s="1"/>
  <c r="T159" i="3"/>
  <c r="U159" i="3" s="1"/>
  <c r="V159" i="3" s="1"/>
  <c r="S159" i="3"/>
  <c r="B159" i="3"/>
  <c r="AS158" i="3"/>
  <c r="AR158" i="3" s="1"/>
  <c r="U158" i="3" s="1"/>
  <c r="AH158" i="3"/>
  <c r="AA158" i="3"/>
  <c r="Y158" i="3" s="1"/>
  <c r="T158" i="3"/>
  <c r="S158" i="3"/>
  <c r="B158" i="3"/>
  <c r="AS157" i="3"/>
  <c r="AH157" i="3"/>
  <c r="AA157" i="3"/>
  <c r="Y157" i="3" s="1"/>
  <c r="U157" i="3" s="1"/>
  <c r="T157" i="3"/>
  <c r="S157" i="3"/>
  <c r="B157" i="3"/>
  <c r="AS156" i="3"/>
  <c r="AR156" i="3" s="1"/>
  <c r="U156" i="3" s="1"/>
  <c r="AH156" i="3"/>
  <c r="AA156" i="3"/>
  <c r="Y156" i="3" s="1"/>
  <c r="T156" i="3"/>
  <c r="S156" i="3"/>
  <c r="B156" i="3"/>
  <c r="AS155" i="3"/>
  <c r="AH155" i="3"/>
  <c r="AA155" i="3"/>
  <c r="Y155" i="3" s="1"/>
  <c r="U155" i="3" s="1"/>
  <c r="T155" i="3"/>
  <c r="S155" i="3"/>
  <c r="B155" i="3"/>
  <c r="AS154" i="3"/>
  <c r="AH154" i="3"/>
  <c r="AA154" i="3"/>
  <c r="Y154" i="3" s="1"/>
  <c r="T154" i="3"/>
  <c r="U154" i="3" s="1"/>
  <c r="V154" i="3" s="1"/>
  <c r="S154" i="3"/>
  <c r="B154" i="3"/>
  <c r="AS153" i="3"/>
  <c r="AH153" i="3"/>
  <c r="AA153" i="3"/>
  <c r="Y153" i="3" s="1"/>
  <c r="T153" i="3"/>
  <c r="U153" i="3" s="1"/>
  <c r="V153" i="3" s="1"/>
  <c r="S153" i="3"/>
  <c r="B153" i="3"/>
  <c r="AS152" i="3"/>
  <c r="AH152" i="3"/>
  <c r="AA152" i="3"/>
  <c r="Y152" i="3" s="1"/>
  <c r="T152" i="3"/>
  <c r="V152" i="3" s="1"/>
  <c r="S152" i="3"/>
  <c r="B152" i="3"/>
  <c r="AS151" i="3"/>
  <c r="AH151" i="3"/>
  <c r="AA151" i="3"/>
  <c r="Y151" i="3" s="1"/>
  <c r="U151" i="3" s="1"/>
  <c r="T151" i="3"/>
  <c r="S151" i="3"/>
  <c r="B151" i="3"/>
  <c r="AS150" i="3"/>
  <c r="AH150" i="3"/>
  <c r="AA150" i="3"/>
  <c r="R150" i="3"/>
  <c r="Q150" i="3"/>
  <c r="L150" i="3"/>
  <c r="J150" i="3"/>
  <c r="I150" i="3"/>
  <c r="T150" i="3" s="1"/>
  <c r="AS149" i="3"/>
  <c r="AH149" i="3"/>
  <c r="AG149" i="3" s="1"/>
  <c r="U149" i="3" s="1"/>
  <c r="AA149" i="3"/>
  <c r="Y149" i="3" s="1"/>
  <c r="T149" i="3"/>
  <c r="S149" i="3"/>
  <c r="B149" i="3"/>
  <c r="AS148" i="3"/>
  <c r="AH148" i="3"/>
  <c r="AG148" i="3" s="1"/>
  <c r="U148" i="3" s="1"/>
  <c r="AA148" i="3"/>
  <c r="Y148" i="3" s="1"/>
  <c r="T148" i="3"/>
  <c r="S148" i="3"/>
  <c r="B148" i="3"/>
  <c r="AS147" i="3"/>
  <c r="AH147" i="3"/>
  <c r="AA147" i="3"/>
  <c r="Y147" i="3" s="1"/>
  <c r="T147" i="3"/>
  <c r="U147" i="3" s="1"/>
  <c r="V147" i="3" s="1"/>
  <c r="S147" i="3"/>
  <c r="B147" i="3"/>
  <c r="AS146" i="3"/>
  <c r="AH146" i="3"/>
  <c r="AA146" i="3"/>
  <c r="Y146" i="3" s="1"/>
  <c r="U146" i="3" s="1"/>
  <c r="T146" i="3"/>
  <c r="S146" i="3"/>
  <c r="B146" i="3"/>
  <c r="AS145" i="3"/>
  <c r="AH145" i="3"/>
  <c r="AA145" i="3"/>
  <c r="Y145" i="3" s="1"/>
  <c r="T145" i="3"/>
  <c r="U145" i="3" s="1"/>
  <c r="V145" i="3" s="1"/>
  <c r="S145" i="3"/>
  <c r="B145" i="3"/>
  <c r="AS144" i="3"/>
  <c r="AH144" i="3"/>
  <c r="AA144" i="3"/>
  <c r="Y144" i="3" s="1"/>
  <c r="T144" i="3"/>
  <c r="V144" i="3" s="1"/>
  <c r="S144" i="3"/>
  <c r="B144" i="3"/>
  <c r="AS143" i="3"/>
  <c r="AH143" i="3"/>
  <c r="AA143" i="3"/>
  <c r="Y143" i="3" s="1"/>
  <c r="T143" i="3"/>
  <c r="V143" i="3" s="1"/>
  <c r="S143" i="3"/>
  <c r="B143" i="3"/>
  <c r="AS142" i="3"/>
  <c r="AH142" i="3"/>
  <c r="AA142" i="3"/>
  <c r="Y142" i="3" s="1"/>
  <c r="T142" i="3"/>
  <c r="V142" i="3" s="1"/>
  <c r="S142" i="3"/>
  <c r="B142" i="3"/>
  <c r="AS141" i="3"/>
  <c r="AR141" i="3" s="1"/>
  <c r="U141" i="3" s="1"/>
  <c r="AH141" i="3"/>
  <c r="AA141" i="3"/>
  <c r="Y141" i="3" s="1"/>
  <c r="T141" i="3"/>
  <c r="S141" i="3"/>
  <c r="B141" i="3"/>
  <c r="AS140" i="3"/>
  <c r="AH140" i="3"/>
  <c r="AG140" i="3" s="1"/>
  <c r="U140" i="3" s="1"/>
  <c r="AA140" i="3"/>
  <c r="Y140" i="3" s="1"/>
  <c r="T140" i="3"/>
  <c r="S140" i="3"/>
  <c r="B140" i="3"/>
  <c r="AS139" i="3"/>
  <c r="AH139" i="3"/>
  <c r="AG139" i="3" s="1"/>
  <c r="U139" i="3" s="1"/>
  <c r="AA139" i="3"/>
  <c r="Y139" i="3" s="1"/>
  <c r="T139" i="3"/>
  <c r="S139" i="3"/>
  <c r="B139" i="3"/>
  <c r="AS138" i="3"/>
  <c r="AH138" i="3"/>
  <c r="AG138" i="3" s="1"/>
  <c r="U138" i="3" s="1"/>
  <c r="AA138" i="3"/>
  <c r="Y138" i="3" s="1"/>
  <c r="T138" i="3"/>
  <c r="S138" i="3"/>
  <c r="B138" i="3"/>
  <c r="AS137" i="3"/>
  <c r="AH137" i="3"/>
  <c r="AA137" i="3"/>
  <c r="Y137" i="3" s="1"/>
  <c r="T137" i="3"/>
  <c r="V137" i="3" s="1"/>
  <c r="S137" i="3"/>
  <c r="B137" i="3"/>
  <c r="AS136" i="3"/>
  <c r="AH136" i="3"/>
  <c r="AG136" i="3" s="1"/>
  <c r="U136" i="3" s="1"/>
  <c r="AA136" i="3"/>
  <c r="Y136" i="3" s="1"/>
  <c r="T136" i="3"/>
  <c r="S136" i="3"/>
  <c r="B136" i="3"/>
  <c r="AS135" i="3"/>
  <c r="AH135" i="3"/>
  <c r="AA135" i="3"/>
  <c r="Y135" i="3" s="1"/>
  <c r="T135" i="3"/>
  <c r="U135" i="3" s="1"/>
  <c r="V135" i="3" s="1"/>
  <c r="S135" i="3"/>
  <c r="B135" i="3"/>
  <c r="AS134" i="3"/>
  <c r="AH134" i="3"/>
  <c r="AG134" i="3" s="1"/>
  <c r="U134" i="3" s="1"/>
  <c r="AA134" i="3"/>
  <c r="Y134" i="3" s="1"/>
  <c r="T134" i="3"/>
  <c r="S134" i="3"/>
  <c r="B134" i="3"/>
  <c r="AS133" i="3"/>
  <c r="AH133" i="3"/>
  <c r="AG133" i="3" s="1"/>
  <c r="U133" i="3" s="1"/>
  <c r="AA133" i="3"/>
  <c r="Y133" i="3" s="1"/>
  <c r="T133" i="3"/>
  <c r="S133" i="3"/>
  <c r="B133" i="3"/>
  <c r="AS132" i="3"/>
  <c r="AH132" i="3"/>
  <c r="AA132" i="3"/>
  <c r="Y132" i="3" s="1"/>
  <c r="T132" i="3"/>
  <c r="V132" i="3" s="1"/>
  <c r="S132" i="3"/>
  <c r="B132" i="3"/>
  <c r="AS131" i="3"/>
  <c r="AH131" i="3"/>
  <c r="AA131" i="3"/>
  <c r="Y131" i="3" s="1"/>
  <c r="T131" i="3"/>
  <c r="V131" i="3" s="1"/>
  <c r="S131" i="3"/>
  <c r="B131" i="3"/>
  <c r="AS130" i="3"/>
  <c r="AH130" i="3"/>
  <c r="AG130" i="3" s="1"/>
  <c r="U130" i="3" s="1"/>
  <c r="AA130" i="3"/>
  <c r="Y130" i="3" s="1"/>
  <c r="T130" i="3"/>
  <c r="S130" i="3"/>
  <c r="B130" i="3"/>
  <c r="AS129" i="3"/>
  <c r="AH129" i="3"/>
  <c r="AA129" i="3"/>
  <c r="Y129" i="3" s="1"/>
  <c r="T129" i="3"/>
  <c r="U129" i="3" s="1"/>
  <c r="V129" i="3" s="1"/>
  <c r="S129" i="3"/>
  <c r="B129" i="3"/>
  <c r="AS128" i="3"/>
  <c r="AH128" i="3"/>
  <c r="AA128" i="3"/>
  <c r="Y128" i="3" s="1"/>
  <c r="U128" i="3" s="1"/>
  <c r="T128" i="3"/>
  <c r="S128" i="3"/>
  <c r="B128" i="3"/>
  <c r="AS127" i="3"/>
  <c r="AH127" i="3"/>
  <c r="AA127" i="3"/>
  <c r="Y127" i="3" s="1"/>
  <c r="T127" i="3"/>
  <c r="U127" i="3" s="1"/>
  <c r="V127" i="3" s="1"/>
  <c r="S127" i="3"/>
  <c r="B127" i="3"/>
  <c r="AS126" i="3"/>
  <c r="AH126" i="3"/>
  <c r="AA126" i="3"/>
  <c r="Y126" i="3" s="1"/>
  <c r="T126" i="3"/>
  <c r="U126" i="3" s="1"/>
  <c r="V126" i="3" s="1"/>
  <c r="S126" i="3"/>
  <c r="B126" i="3"/>
  <c r="AS125" i="3"/>
  <c r="AH125" i="3"/>
  <c r="AA125" i="3"/>
  <c r="Y125" i="3" s="1"/>
  <c r="U125" i="3" s="1"/>
  <c r="T125" i="3"/>
  <c r="S125" i="3"/>
  <c r="B125" i="3"/>
  <c r="AS124" i="3"/>
  <c r="AH124" i="3"/>
  <c r="AA124" i="3"/>
  <c r="Y124" i="3" s="1"/>
  <c r="T124" i="3"/>
  <c r="U124" i="3" s="1"/>
  <c r="V124" i="3" s="1"/>
  <c r="S124" i="3"/>
  <c r="B124" i="3"/>
  <c r="AS123" i="3"/>
  <c r="AH123" i="3"/>
  <c r="AA123" i="3"/>
  <c r="Y123" i="3" s="1"/>
  <c r="U123" i="3" s="1"/>
  <c r="T123" i="3"/>
  <c r="S123" i="3"/>
  <c r="B123" i="3"/>
  <c r="AS122" i="3"/>
  <c r="AH122" i="3"/>
  <c r="AA122" i="3"/>
  <c r="Y122" i="3" s="1"/>
  <c r="U122" i="3" s="1"/>
  <c r="T122" i="3"/>
  <c r="S122" i="3"/>
  <c r="B122" i="3"/>
  <c r="AS121" i="3"/>
  <c r="AH121" i="3"/>
  <c r="AA121" i="3"/>
  <c r="Y121" i="3" s="1"/>
  <c r="T121" i="3"/>
  <c r="U121" i="3" s="1"/>
  <c r="V121" i="3" s="1"/>
  <c r="S121" i="3"/>
  <c r="B121" i="3"/>
  <c r="AS120" i="3"/>
  <c r="AH120" i="3"/>
  <c r="AA120" i="3"/>
  <c r="Y120" i="3" s="1"/>
  <c r="T120" i="3"/>
  <c r="U120" i="3" s="1"/>
  <c r="V120" i="3" s="1"/>
  <c r="S120" i="3"/>
  <c r="B120" i="3"/>
  <c r="AS119" i="3"/>
  <c r="AH119" i="3"/>
  <c r="AA119" i="3"/>
  <c r="Y119" i="3" s="1"/>
  <c r="T119" i="3"/>
  <c r="U119" i="3" s="1"/>
  <c r="V119" i="3" s="1"/>
  <c r="S119" i="3"/>
  <c r="B119" i="3"/>
  <c r="AS118" i="3"/>
  <c r="AH118" i="3"/>
  <c r="AA118" i="3"/>
  <c r="Y118" i="3" s="1"/>
  <c r="U118" i="3" s="1"/>
  <c r="T118" i="3"/>
  <c r="S118" i="3"/>
  <c r="B118" i="3"/>
  <c r="AS117" i="3"/>
  <c r="AH117" i="3"/>
  <c r="AA117" i="3"/>
  <c r="R117" i="3"/>
  <c r="Q117" i="3"/>
  <c r="L117" i="3"/>
  <c r="K117" i="3"/>
  <c r="J117" i="3"/>
  <c r="I117" i="3"/>
  <c r="AS116" i="3"/>
  <c r="AH116" i="3"/>
  <c r="AG116" i="3" s="1"/>
  <c r="U116" i="3" s="1"/>
  <c r="AA116" i="3"/>
  <c r="Y116" i="3" s="1"/>
  <c r="T116" i="3"/>
  <c r="S116" i="3"/>
  <c r="B116" i="3"/>
  <c r="AS115" i="3"/>
  <c r="AH115" i="3"/>
  <c r="AA115" i="3"/>
  <c r="Y115" i="3" s="1"/>
  <c r="U115" i="3" s="1"/>
  <c r="T115" i="3"/>
  <c r="S115" i="3"/>
  <c r="B115" i="3"/>
  <c r="AS114" i="3"/>
  <c r="AR114" i="3" s="1"/>
  <c r="AH114" i="3"/>
  <c r="AA114" i="3"/>
  <c r="Y114" i="3" s="1"/>
  <c r="T114" i="3"/>
  <c r="U114" i="3" s="1"/>
  <c r="V114" i="3" s="1"/>
  <c r="S114" i="3"/>
  <c r="B114" i="3"/>
  <c r="AS113" i="3"/>
  <c r="AH113" i="3"/>
  <c r="AA113" i="3"/>
  <c r="Y113" i="3" s="1"/>
  <c r="U113" i="3" s="1"/>
  <c r="T113" i="3"/>
  <c r="S113" i="3"/>
  <c r="B113" i="3"/>
  <c r="AS112" i="3"/>
  <c r="AH112" i="3"/>
  <c r="AG112" i="3" s="1"/>
  <c r="U112" i="3" s="1"/>
  <c r="AA112" i="3"/>
  <c r="Y112" i="3" s="1"/>
  <c r="T112" i="3"/>
  <c r="S112" i="3"/>
  <c r="B112" i="3"/>
  <c r="AS111" i="3"/>
  <c r="AH111" i="3"/>
  <c r="AA111" i="3"/>
  <c r="Y111" i="3" s="1"/>
  <c r="U111" i="3" s="1"/>
  <c r="T111" i="3"/>
  <c r="S111" i="3"/>
  <c r="B111" i="3"/>
  <c r="AS110" i="3"/>
  <c r="AH110" i="3"/>
  <c r="AG110" i="3" s="1"/>
  <c r="U110" i="3" s="1"/>
  <c r="AA110" i="3"/>
  <c r="Y110" i="3" s="1"/>
  <c r="T110" i="3"/>
  <c r="S110" i="3"/>
  <c r="B110" i="3"/>
  <c r="AS109" i="3"/>
  <c r="AH109" i="3"/>
  <c r="AA109" i="3"/>
  <c r="Y109" i="3" s="1"/>
  <c r="U109" i="3" s="1"/>
  <c r="T109" i="3"/>
  <c r="S109" i="3"/>
  <c r="B109" i="3"/>
  <c r="AS108" i="3"/>
  <c r="AH108" i="3"/>
  <c r="AA108" i="3"/>
  <c r="Y108" i="3" s="1"/>
  <c r="T108" i="3"/>
  <c r="U108" i="3" s="1"/>
  <c r="V108" i="3" s="1"/>
  <c r="S108" i="3"/>
  <c r="B108" i="3"/>
  <c r="AS107" i="3"/>
  <c r="AH107" i="3"/>
  <c r="AA107" i="3"/>
  <c r="Y107" i="3" s="1"/>
  <c r="T107" i="3"/>
  <c r="U107" i="3" s="1"/>
  <c r="V107" i="3" s="1"/>
  <c r="S107" i="3"/>
  <c r="B107" i="3"/>
  <c r="AS106" i="3"/>
  <c r="AH106" i="3"/>
  <c r="AA106" i="3"/>
  <c r="Y106" i="3" s="1"/>
  <c r="U106" i="3" s="1"/>
  <c r="T106" i="3"/>
  <c r="S106" i="3"/>
  <c r="B106" i="3"/>
  <c r="AS105" i="3"/>
  <c r="AH105" i="3"/>
  <c r="AA105" i="3"/>
  <c r="Y105" i="3" s="1"/>
  <c r="U105" i="3" s="1"/>
  <c r="T105" i="3"/>
  <c r="S105" i="3"/>
  <c r="B105" i="3"/>
  <c r="AS104" i="3"/>
  <c r="AH104" i="3"/>
  <c r="AA104" i="3"/>
  <c r="Y104" i="3" s="1"/>
  <c r="U104" i="3" s="1"/>
  <c r="T104" i="3"/>
  <c r="S104" i="3"/>
  <c r="B104" i="3"/>
  <c r="AS103" i="3"/>
  <c r="AH103" i="3"/>
  <c r="AA103" i="3"/>
  <c r="Y103" i="3" s="1"/>
  <c r="U103" i="3" s="1"/>
  <c r="T103" i="3"/>
  <c r="S103" i="3"/>
  <c r="B103" i="3"/>
  <c r="AS102" i="3"/>
  <c r="AH102" i="3"/>
  <c r="AA102" i="3"/>
  <c r="Y102" i="3" s="1"/>
  <c r="T102" i="3"/>
  <c r="U102" i="3" s="1"/>
  <c r="V102" i="3" s="1"/>
  <c r="S102" i="3"/>
  <c r="B102" i="3"/>
  <c r="AS101" i="3"/>
  <c r="AH101" i="3"/>
  <c r="AA101" i="3"/>
  <c r="Y101" i="3" s="1"/>
  <c r="U101" i="3" s="1"/>
  <c r="T101" i="3"/>
  <c r="S101" i="3"/>
  <c r="B101" i="3"/>
  <c r="AS100" i="3"/>
  <c r="AH100" i="3"/>
  <c r="AA100" i="3"/>
  <c r="Y100" i="3" s="1"/>
  <c r="U100" i="3" s="1"/>
  <c r="T100" i="3"/>
  <c r="S100" i="3"/>
  <c r="B100" i="3"/>
  <c r="AS99" i="3"/>
  <c r="AH99" i="3"/>
  <c r="AG99" i="3" s="1"/>
  <c r="U99" i="3" s="1"/>
  <c r="AA99" i="3"/>
  <c r="Y99" i="3" s="1"/>
  <c r="T99" i="3"/>
  <c r="S99" i="3"/>
  <c r="B99" i="3"/>
  <c r="AS98" i="3"/>
  <c r="AH98" i="3"/>
  <c r="AG98" i="3" s="1"/>
  <c r="U98" i="3" s="1"/>
  <c r="AA98" i="3"/>
  <c r="Y98" i="3" s="1"/>
  <c r="T98" i="3"/>
  <c r="S98" i="3"/>
  <c r="B98" i="3"/>
  <c r="AS97" i="3"/>
  <c r="AH97" i="3"/>
  <c r="AA97" i="3"/>
  <c r="Y97" i="3" s="1"/>
  <c r="U97" i="3" s="1"/>
  <c r="T97" i="3"/>
  <c r="S97" i="3"/>
  <c r="B97" i="3"/>
  <c r="AS96" i="3"/>
  <c r="AH96" i="3"/>
  <c r="AA96" i="3"/>
  <c r="Y96" i="3" s="1"/>
  <c r="T96" i="3"/>
  <c r="V96" i="3" s="1"/>
  <c r="S96" i="3"/>
  <c r="B96" i="3"/>
  <c r="AS95" i="3"/>
  <c r="AH95" i="3"/>
  <c r="AG95" i="3" s="1"/>
  <c r="U95" i="3" s="1"/>
  <c r="AA95" i="3"/>
  <c r="Y95" i="3" s="1"/>
  <c r="T95" i="3"/>
  <c r="S95" i="3"/>
  <c r="B95" i="3"/>
  <c r="AS94" i="3"/>
  <c r="AH94" i="3"/>
  <c r="AA94" i="3"/>
  <c r="Y94" i="3" s="1"/>
  <c r="U94" i="3" s="1"/>
  <c r="T94" i="3"/>
  <c r="S94" i="3"/>
  <c r="B94" i="3"/>
  <c r="AS93" i="3"/>
  <c r="AH93" i="3"/>
  <c r="AG93" i="3" s="1"/>
  <c r="U93" i="3" s="1"/>
  <c r="AA93" i="3"/>
  <c r="Y93" i="3" s="1"/>
  <c r="T93" i="3"/>
  <c r="S93" i="3"/>
  <c r="B93" i="3"/>
  <c r="AS92" i="3"/>
  <c r="AH92" i="3"/>
  <c r="AG92" i="3" s="1"/>
  <c r="U92" i="3" s="1"/>
  <c r="AA92" i="3"/>
  <c r="Y92" i="3" s="1"/>
  <c r="T92" i="3"/>
  <c r="S92" i="3"/>
  <c r="B92" i="3"/>
  <c r="AS91" i="3"/>
  <c r="AH91" i="3"/>
  <c r="AG91" i="3" s="1"/>
  <c r="U91" i="3" s="1"/>
  <c r="AA91" i="3"/>
  <c r="Y91" i="3" s="1"/>
  <c r="T91" i="3"/>
  <c r="S91" i="3"/>
  <c r="B91" i="3"/>
  <c r="AS90" i="3"/>
  <c r="AH90" i="3"/>
  <c r="AG90" i="3" s="1"/>
  <c r="U90" i="3" s="1"/>
  <c r="AA90" i="3"/>
  <c r="Y90" i="3" s="1"/>
  <c r="T90" i="3"/>
  <c r="S90" i="3"/>
  <c r="B90" i="3"/>
  <c r="AS89" i="3"/>
  <c r="AH89" i="3"/>
  <c r="AA89" i="3"/>
  <c r="Y89" i="3" s="1"/>
  <c r="U89" i="3" s="1"/>
  <c r="T89" i="3"/>
  <c r="S89" i="3"/>
  <c r="B89" i="3"/>
  <c r="AS88" i="3"/>
  <c r="AH88" i="3"/>
  <c r="AA88" i="3"/>
  <c r="Y88" i="3" s="1"/>
  <c r="T88" i="3"/>
  <c r="U88" i="3" s="1"/>
  <c r="V88" i="3" s="1"/>
  <c r="S88" i="3"/>
  <c r="B88" i="3"/>
  <c r="AS87" i="3"/>
  <c r="AR87" i="3" s="1"/>
  <c r="U87" i="3" s="1"/>
  <c r="AH87" i="3"/>
  <c r="AA87" i="3"/>
  <c r="Y87" i="3" s="1"/>
  <c r="T87" i="3"/>
  <c r="S87" i="3"/>
  <c r="B87" i="3"/>
  <c r="AS86" i="3"/>
  <c r="AR86" i="3" s="1"/>
  <c r="U86" i="3" s="1"/>
  <c r="AH86" i="3"/>
  <c r="AA86" i="3"/>
  <c r="Y86" i="3" s="1"/>
  <c r="T86" i="3"/>
  <c r="S86" i="3"/>
  <c r="B86" i="3"/>
  <c r="AS85" i="3"/>
  <c r="AH85" i="3"/>
  <c r="AA85" i="3"/>
  <c r="Y85" i="3" s="1"/>
  <c r="U85" i="3" s="1"/>
  <c r="T85" i="3"/>
  <c r="S85" i="3"/>
  <c r="B85" i="3"/>
  <c r="AS84" i="3"/>
  <c r="AH84" i="3"/>
  <c r="AA84" i="3"/>
  <c r="Y84" i="3" s="1"/>
  <c r="U84" i="3" s="1"/>
  <c r="T84" i="3"/>
  <c r="S84" i="3"/>
  <c r="B84" i="3"/>
  <c r="AS83" i="3"/>
  <c r="AH83" i="3"/>
  <c r="AA83" i="3"/>
  <c r="Y83" i="3" s="1"/>
  <c r="T83" i="3"/>
  <c r="U83" i="3" s="1"/>
  <c r="V83" i="3" s="1"/>
  <c r="S83" i="3"/>
  <c r="B83" i="3"/>
  <c r="AS82" i="3"/>
  <c r="AH82" i="3"/>
  <c r="AA82" i="3"/>
  <c r="Y82" i="3" s="1"/>
  <c r="U82" i="3" s="1"/>
  <c r="T82" i="3"/>
  <c r="S82" i="3"/>
  <c r="B82" i="3"/>
  <c r="AS81" i="3"/>
  <c r="AH81" i="3"/>
  <c r="AG81" i="3" s="1"/>
  <c r="U81" i="3" s="1"/>
  <c r="AA81" i="3"/>
  <c r="Y81" i="3" s="1"/>
  <c r="T81" i="3"/>
  <c r="S81" i="3"/>
  <c r="B81" i="3"/>
  <c r="AS80" i="3"/>
  <c r="AH80" i="3"/>
  <c r="AA80" i="3"/>
  <c r="Y80" i="3" s="1"/>
  <c r="U80" i="3" s="1"/>
  <c r="T80" i="3"/>
  <c r="S80" i="3"/>
  <c r="B80" i="3"/>
  <c r="AS79" i="3"/>
  <c r="AH79" i="3"/>
  <c r="AG79" i="3" s="1"/>
  <c r="U79" i="3" s="1"/>
  <c r="AA79" i="3"/>
  <c r="Y79" i="3" s="1"/>
  <c r="T79" i="3"/>
  <c r="S79" i="3"/>
  <c r="B79" i="3"/>
  <c r="AS78" i="3"/>
  <c r="AH78" i="3"/>
  <c r="AA78" i="3"/>
  <c r="Y78" i="3" s="1"/>
  <c r="U78" i="3" s="1"/>
  <c r="T78" i="3"/>
  <c r="S78" i="3"/>
  <c r="B78" i="3"/>
  <c r="AS77" i="3"/>
  <c r="AH77" i="3"/>
  <c r="AA77" i="3"/>
  <c r="Y77" i="3" s="1"/>
  <c r="U77" i="3" s="1"/>
  <c r="T77" i="3"/>
  <c r="S77" i="3"/>
  <c r="B77" i="3"/>
  <c r="AS76" i="3"/>
  <c r="AH76" i="3"/>
  <c r="AA76" i="3"/>
  <c r="Y76" i="3" s="1"/>
  <c r="U76" i="3" s="1"/>
  <c r="T76" i="3"/>
  <c r="S76" i="3"/>
  <c r="B76" i="3"/>
  <c r="AS75" i="3"/>
  <c r="AH75" i="3"/>
  <c r="AA75" i="3"/>
  <c r="Y75" i="3" s="1"/>
  <c r="T75" i="3"/>
  <c r="V75" i="3" s="1"/>
  <c r="S75" i="3"/>
  <c r="B75" i="3"/>
  <c r="AS74" i="3"/>
  <c r="AH74" i="3"/>
  <c r="AG74" i="3" s="1"/>
  <c r="U74" i="3" s="1"/>
  <c r="AA74" i="3"/>
  <c r="Y74" i="3" s="1"/>
  <c r="T74" i="3"/>
  <c r="S74" i="3"/>
  <c r="B74" i="3"/>
  <c r="AS73" i="3"/>
  <c r="AH73" i="3"/>
  <c r="AA73" i="3"/>
  <c r="Y73" i="3" s="1"/>
  <c r="U73" i="3" s="1"/>
  <c r="T73" i="3"/>
  <c r="S73" i="3"/>
  <c r="B73" i="3"/>
  <c r="AS72" i="3"/>
  <c r="AH72" i="3"/>
  <c r="AA72" i="3"/>
  <c r="Y72" i="3" s="1"/>
  <c r="U72" i="3" s="1"/>
  <c r="T72" i="3"/>
  <c r="S72" i="3"/>
  <c r="B72" i="3"/>
  <c r="AS71" i="3"/>
  <c r="AH71" i="3"/>
  <c r="AA71" i="3"/>
  <c r="Y71" i="3" s="1"/>
  <c r="U71" i="3" s="1"/>
  <c r="T71" i="3"/>
  <c r="S71" i="3"/>
  <c r="B71" i="3"/>
  <c r="AS70" i="3"/>
  <c r="AH70" i="3"/>
  <c r="AG70" i="3" s="1"/>
  <c r="U70" i="3" s="1"/>
  <c r="AA70" i="3"/>
  <c r="Y70" i="3" s="1"/>
  <c r="T70" i="3"/>
  <c r="S70" i="3"/>
  <c r="B70" i="3"/>
  <c r="AS69" i="3"/>
  <c r="AH69" i="3"/>
  <c r="AG69" i="3" s="1"/>
  <c r="U69" i="3" s="1"/>
  <c r="AA69" i="3"/>
  <c r="Y69" i="3" s="1"/>
  <c r="T69" i="3"/>
  <c r="S69" i="3"/>
  <c r="B69" i="3"/>
  <c r="AS68" i="3"/>
  <c r="AR68" i="3" s="1"/>
  <c r="U68" i="3" s="1"/>
  <c r="AH68" i="3"/>
  <c r="AA68" i="3"/>
  <c r="Y68" i="3" s="1"/>
  <c r="T68" i="3"/>
  <c r="S68" i="3"/>
  <c r="B68" i="3"/>
  <c r="AS67" i="3"/>
  <c r="AH67" i="3"/>
  <c r="AG67" i="3" s="1"/>
  <c r="U67" i="3" s="1"/>
  <c r="AA67" i="3"/>
  <c r="Y67" i="3" s="1"/>
  <c r="T67" i="3"/>
  <c r="S67" i="3"/>
  <c r="B67" i="3"/>
  <c r="AS66" i="3"/>
  <c r="AH66" i="3"/>
  <c r="AA66" i="3"/>
  <c r="Y66" i="3" s="1"/>
  <c r="U66" i="3" s="1"/>
  <c r="T66" i="3"/>
  <c r="S66" i="3"/>
  <c r="B66" i="3"/>
  <c r="AS65" i="3"/>
  <c r="AH65" i="3"/>
  <c r="AA65" i="3"/>
  <c r="Y65" i="3" s="1"/>
  <c r="U65" i="3" s="1"/>
  <c r="T65" i="3"/>
  <c r="S65" i="3"/>
  <c r="B65" i="3"/>
  <c r="AS64" i="3"/>
  <c r="AH64" i="3"/>
  <c r="AA64" i="3"/>
  <c r="Y64" i="3" s="1"/>
  <c r="U64" i="3" s="1"/>
  <c r="T64" i="3"/>
  <c r="S64" i="3"/>
  <c r="B64" i="3"/>
  <c r="AS63" i="3"/>
  <c r="AH63" i="3"/>
  <c r="AA63" i="3"/>
  <c r="Y63" i="3" s="1"/>
  <c r="U63" i="3" s="1"/>
  <c r="T63" i="3"/>
  <c r="S63" i="3"/>
  <c r="B63" i="3"/>
  <c r="AS62" i="3"/>
  <c r="AH62" i="3"/>
  <c r="AA62" i="3"/>
  <c r="Y62" i="3" s="1"/>
  <c r="U62" i="3" s="1"/>
  <c r="T62" i="3"/>
  <c r="S62" i="3"/>
  <c r="B62" i="3"/>
  <c r="AS61" i="3"/>
  <c r="AH61" i="3"/>
  <c r="AA61" i="3"/>
  <c r="Y61" i="3" s="1"/>
  <c r="U61" i="3" s="1"/>
  <c r="T61" i="3"/>
  <c r="S61" i="3"/>
  <c r="B61" i="3"/>
  <c r="AS60" i="3"/>
  <c r="AH60" i="3"/>
  <c r="AA60" i="3"/>
  <c r="Y60" i="3" s="1"/>
  <c r="U60" i="3" s="1"/>
  <c r="T60" i="3"/>
  <c r="S60" i="3"/>
  <c r="B60" i="3"/>
  <c r="AS59" i="3"/>
  <c r="AH59" i="3"/>
  <c r="AA59" i="3"/>
  <c r="Y59" i="3" s="1"/>
  <c r="U59" i="3" s="1"/>
  <c r="T59" i="3"/>
  <c r="S59" i="3"/>
  <c r="B59" i="3"/>
  <c r="AS58" i="3"/>
  <c r="AH58" i="3"/>
  <c r="AA58" i="3"/>
  <c r="Y58" i="3" s="1"/>
  <c r="U58" i="3" s="1"/>
  <c r="T58" i="3"/>
  <c r="S58" i="3"/>
  <c r="B58" i="3"/>
  <c r="AS57" i="3"/>
  <c r="AH57" i="3"/>
  <c r="AA57" i="3"/>
  <c r="Y57" i="3" s="1"/>
  <c r="U57" i="3" s="1"/>
  <c r="T57" i="3"/>
  <c r="S57" i="3"/>
  <c r="B57" i="3"/>
  <c r="AS56" i="3"/>
  <c r="AH56" i="3"/>
  <c r="AA56" i="3"/>
  <c r="Y56" i="3" s="1"/>
  <c r="U56" i="3" s="1"/>
  <c r="T56" i="3"/>
  <c r="S56" i="3"/>
  <c r="B56" i="3"/>
  <c r="AS55" i="3"/>
  <c r="AH55" i="3"/>
  <c r="AA55" i="3"/>
  <c r="Y55" i="3" s="1"/>
  <c r="U55" i="3" s="1"/>
  <c r="T55" i="3"/>
  <c r="S55" i="3"/>
  <c r="B55" i="3"/>
  <c r="AS54" i="3"/>
  <c r="AH54" i="3"/>
  <c r="AA54" i="3"/>
  <c r="Y54" i="3" s="1"/>
  <c r="U54" i="3" s="1"/>
  <c r="T54" i="3"/>
  <c r="S54" i="3"/>
  <c r="B54" i="3"/>
  <c r="AS53" i="3"/>
  <c r="AH53" i="3"/>
  <c r="AA53" i="3"/>
  <c r="Y53" i="3" s="1"/>
  <c r="U53" i="3" s="1"/>
  <c r="T53" i="3"/>
  <c r="S53" i="3"/>
  <c r="B53" i="3"/>
  <c r="AS52" i="3"/>
  <c r="AH52" i="3"/>
  <c r="AA52" i="3"/>
  <c r="Y52" i="3" s="1"/>
  <c r="U52" i="3" s="1"/>
  <c r="T52" i="3"/>
  <c r="S52" i="3"/>
  <c r="B52" i="3"/>
  <c r="AS51" i="3"/>
  <c r="AH51" i="3"/>
  <c r="AA51" i="3"/>
  <c r="Y51" i="3" s="1"/>
  <c r="U51" i="3" s="1"/>
  <c r="T51" i="3"/>
  <c r="S51" i="3"/>
  <c r="B51" i="3"/>
  <c r="AS50" i="3"/>
  <c r="AR50" i="3" s="1"/>
  <c r="U50" i="3" s="1"/>
  <c r="AH50" i="3"/>
  <c r="AA50" i="3"/>
  <c r="Y50" i="3" s="1"/>
  <c r="T50" i="3"/>
  <c r="S50" i="3"/>
  <c r="B50" i="3"/>
  <c r="AS49" i="3"/>
  <c r="AH49" i="3"/>
  <c r="AG49" i="3" s="1"/>
  <c r="U49" i="3" s="1"/>
  <c r="AA49" i="3"/>
  <c r="Y49" i="3" s="1"/>
  <c r="T49" i="3"/>
  <c r="S49" i="3"/>
  <c r="B49" i="3"/>
  <c r="AS48" i="3"/>
  <c r="AH48" i="3"/>
  <c r="AA48" i="3"/>
  <c r="Y48" i="3" s="1"/>
  <c r="U48" i="3" s="1"/>
  <c r="T48" i="3"/>
  <c r="S48" i="3"/>
  <c r="B48" i="3"/>
  <c r="AS47" i="3"/>
  <c r="AH47" i="3"/>
  <c r="AA47" i="3"/>
  <c r="Y47" i="3" s="1"/>
  <c r="U47" i="3" s="1"/>
  <c r="T47" i="3"/>
  <c r="S47" i="3"/>
  <c r="B47" i="3"/>
  <c r="AS46" i="3"/>
  <c r="AR46" i="3" s="1"/>
  <c r="U46" i="3" s="1"/>
  <c r="AH46" i="3"/>
  <c r="AA46" i="3"/>
  <c r="Y46" i="3" s="1"/>
  <c r="T46" i="3"/>
  <c r="S46" i="3"/>
  <c r="B46" i="3"/>
  <c r="AS45" i="3"/>
  <c r="AR45" i="3" s="1"/>
  <c r="U45" i="3" s="1"/>
  <c r="AH45" i="3"/>
  <c r="AA45" i="3"/>
  <c r="Y45" i="3" s="1"/>
  <c r="T45" i="3"/>
  <c r="S45" i="3"/>
  <c r="B45" i="3"/>
  <c r="AS44" i="3"/>
  <c r="AR44" i="3" s="1"/>
  <c r="U44" i="3" s="1"/>
  <c r="AH44" i="3"/>
  <c r="AA44" i="3"/>
  <c r="Y44" i="3" s="1"/>
  <c r="T44" i="3"/>
  <c r="S44" i="3"/>
  <c r="B44" i="3"/>
  <c r="AS43" i="3"/>
  <c r="AR43" i="3" s="1"/>
  <c r="U43" i="3" s="1"/>
  <c r="AH43" i="3"/>
  <c r="AA43" i="3"/>
  <c r="Y43" i="3" s="1"/>
  <c r="T43" i="3"/>
  <c r="S43" i="3"/>
  <c r="B43" i="3"/>
  <c r="AS42" i="3"/>
  <c r="AH42" i="3"/>
  <c r="AA42" i="3"/>
  <c r="Y42" i="3" s="1"/>
  <c r="U42" i="3" s="1"/>
  <c r="T42" i="3"/>
  <c r="S42" i="3"/>
  <c r="B42" i="3"/>
  <c r="AS41" i="3"/>
  <c r="AH41" i="3"/>
  <c r="AA41" i="3"/>
  <c r="Y41" i="3" s="1"/>
  <c r="U41" i="3" s="1"/>
  <c r="T41" i="3"/>
  <c r="S41" i="3"/>
  <c r="B41" i="3"/>
  <c r="AS40" i="3"/>
  <c r="AH40" i="3"/>
  <c r="AA40" i="3"/>
  <c r="Y40" i="3" s="1"/>
  <c r="T40" i="3"/>
  <c r="S40" i="3"/>
  <c r="B40" i="3"/>
  <c r="AS39" i="3"/>
  <c r="AH39" i="3"/>
  <c r="AA39" i="3"/>
  <c r="Y39" i="3" s="1"/>
  <c r="T39" i="3"/>
  <c r="V39" i="3" s="1"/>
  <c r="S39" i="3"/>
  <c r="B39" i="3"/>
  <c r="AS38" i="3"/>
  <c r="AH38" i="3"/>
  <c r="AA38" i="3"/>
  <c r="Y38" i="3" s="1"/>
  <c r="U38" i="3" s="1"/>
  <c r="T38" i="3"/>
  <c r="S38" i="3"/>
  <c r="B38" i="3"/>
  <c r="AS37" i="3"/>
  <c r="AH37" i="3"/>
  <c r="AA37" i="3"/>
  <c r="Y37" i="3" s="1"/>
  <c r="U37" i="3" s="1"/>
  <c r="T37" i="3"/>
  <c r="S37" i="3"/>
  <c r="B37" i="3"/>
  <c r="AS36" i="3"/>
  <c r="AH36" i="3"/>
  <c r="AA36" i="3"/>
  <c r="Y36" i="3" s="1"/>
  <c r="U36" i="3" s="1"/>
  <c r="T36" i="3"/>
  <c r="S36" i="3"/>
  <c r="B36" i="3"/>
  <c r="AS35" i="3"/>
  <c r="AH35" i="3"/>
  <c r="AA35" i="3"/>
  <c r="Y35" i="3" s="1"/>
  <c r="U35" i="3" s="1"/>
  <c r="T35" i="3"/>
  <c r="S35" i="3"/>
  <c r="B35" i="3"/>
  <c r="AS34" i="3"/>
  <c r="AH34" i="3"/>
  <c r="AA34" i="3"/>
  <c r="Y34" i="3" s="1"/>
  <c r="T34" i="3"/>
  <c r="U34" i="3" s="1"/>
  <c r="V34" i="3" s="1"/>
  <c r="S34" i="3"/>
  <c r="B34" i="3"/>
  <c r="AS33" i="3"/>
  <c r="AR33" i="3" s="1"/>
  <c r="AH33" i="3"/>
  <c r="AA33" i="3"/>
  <c r="Y33" i="3" s="1"/>
  <c r="U33" i="3" s="1"/>
  <c r="T33" i="3"/>
  <c r="S33" i="3"/>
  <c r="B33" i="3"/>
  <c r="AS32" i="3"/>
  <c r="AH32" i="3"/>
  <c r="AA32" i="3"/>
  <c r="Y32" i="3" s="1"/>
  <c r="U32" i="3" s="1"/>
  <c r="T32" i="3"/>
  <c r="S32" i="3"/>
  <c r="B32" i="3"/>
  <c r="AS31" i="3"/>
  <c r="AR31" i="3" s="1"/>
  <c r="U31" i="3" s="1"/>
  <c r="AH31" i="3"/>
  <c r="AA31" i="3"/>
  <c r="Y31" i="3" s="1"/>
  <c r="T31" i="3"/>
  <c r="S31" i="3"/>
  <c r="B31" i="3"/>
  <c r="AS30" i="3"/>
  <c r="AH30" i="3"/>
  <c r="AA30" i="3"/>
  <c r="Y30" i="3" s="1"/>
  <c r="U30" i="3" s="1"/>
  <c r="T30" i="3"/>
  <c r="S30" i="3"/>
  <c r="B30" i="3"/>
  <c r="AS29" i="3"/>
  <c r="AH29" i="3"/>
  <c r="AA29" i="3"/>
  <c r="Y29" i="3" s="1"/>
  <c r="U29" i="3" s="1"/>
  <c r="T29" i="3"/>
  <c r="S29" i="3"/>
  <c r="B29" i="3"/>
  <c r="AS28" i="3"/>
  <c r="AH28" i="3"/>
  <c r="AG28" i="3" s="1"/>
  <c r="U28" i="3" s="1"/>
  <c r="AA28" i="3"/>
  <c r="Y28" i="3" s="1"/>
  <c r="T28" i="3"/>
  <c r="S28" i="3"/>
  <c r="B28" i="3"/>
  <c r="AS27" i="3"/>
  <c r="AH27" i="3"/>
  <c r="AA27" i="3"/>
  <c r="Y27" i="3" s="1"/>
  <c r="U27" i="3" s="1"/>
  <c r="T27" i="3"/>
  <c r="S27" i="3"/>
  <c r="B27" i="3"/>
  <c r="AS26" i="3"/>
  <c r="AH26" i="3"/>
  <c r="AA26" i="3"/>
  <c r="Y26" i="3" s="1"/>
  <c r="U26" i="3" s="1"/>
  <c r="T26" i="3"/>
  <c r="S26" i="3"/>
  <c r="B26" i="3"/>
  <c r="AS25" i="3"/>
  <c r="AH25" i="3"/>
  <c r="AA25" i="3"/>
  <c r="Y25" i="3" s="1"/>
  <c r="U25" i="3" s="1"/>
  <c r="T25" i="3"/>
  <c r="S25" i="3"/>
  <c r="B25" i="3"/>
  <c r="AS24" i="3"/>
  <c r="AH24" i="3"/>
  <c r="AA24" i="3"/>
  <c r="Y24" i="3" s="1"/>
  <c r="U24" i="3" s="1"/>
  <c r="T24" i="3"/>
  <c r="S24" i="3"/>
  <c r="B24" i="3"/>
  <c r="AS23" i="3"/>
  <c r="AH23" i="3"/>
  <c r="AA23" i="3"/>
  <c r="Y23" i="3" s="1"/>
  <c r="U23" i="3" s="1"/>
  <c r="T23" i="3"/>
  <c r="S23" i="3"/>
  <c r="B23" i="3"/>
  <c r="AS22" i="3"/>
  <c r="AH22" i="3"/>
  <c r="AA22" i="3"/>
  <c r="Y22" i="3" s="1"/>
  <c r="U22" i="3" s="1"/>
  <c r="T22" i="3"/>
  <c r="S22" i="3"/>
  <c r="B22" i="3"/>
  <c r="AS21" i="3"/>
  <c r="AH21" i="3"/>
  <c r="AG21" i="3" s="1"/>
  <c r="U21" i="3" s="1"/>
  <c r="AA21" i="3"/>
  <c r="Y21" i="3" s="1"/>
  <c r="T21" i="3"/>
  <c r="S21" i="3"/>
  <c r="B21" i="3"/>
  <c r="AS20" i="3"/>
  <c r="AH20" i="3"/>
  <c r="Y20" i="3"/>
  <c r="U20" i="3" s="1"/>
  <c r="T20" i="3"/>
  <c r="S20" i="3"/>
  <c r="B20" i="3"/>
  <c r="AS19" i="3"/>
  <c r="AH19" i="3"/>
  <c r="AA19" i="3"/>
  <c r="Y19" i="3" s="1"/>
  <c r="U19" i="3" s="1"/>
  <c r="T19" i="3"/>
  <c r="S19" i="3"/>
  <c r="B19" i="3"/>
  <c r="AS18" i="3"/>
  <c r="AR18" i="3" s="1"/>
  <c r="U18" i="3" s="1"/>
  <c r="AH18" i="3"/>
  <c r="AA18" i="3"/>
  <c r="Y18" i="3" s="1"/>
  <c r="T18" i="3"/>
  <c r="S18" i="3"/>
  <c r="B18" i="3"/>
  <c r="AS17" i="3"/>
  <c r="AH17" i="3"/>
  <c r="AA17" i="3"/>
  <c r="Y17" i="3" s="1"/>
  <c r="U17" i="3" s="1"/>
  <c r="T17" i="3"/>
  <c r="S17" i="3"/>
  <c r="B17" i="3"/>
  <c r="AS16" i="3"/>
  <c r="AH16" i="3"/>
  <c r="AA16" i="3"/>
  <c r="Y16" i="3" s="1"/>
  <c r="U16" i="3" s="1"/>
  <c r="T16" i="3"/>
  <c r="S16" i="3"/>
  <c r="B16" i="3"/>
  <c r="R15" i="3"/>
  <c r="Q15" i="3"/>
  <c r="L15" i="3"/>
  <c r="K15" i="3"/>
  <c r="J15" i="3"/>
  <c r="I15" i="3"/>
  <c r="T15" i="3" s="1"/>
  <c r="P13" i="3"/>
  <c r="D81" i="5" l="1"/>
  <c r="D158" i="5"/>
  <c r="D140" i="5"/>
  <c r="D166" i="5"/>
  <c r="D61" i="5"/>
  <c r="D123" i="5"/>
  <c r="C140" i="5"/>
  <c r="E11" i="5"/>
  <c r="T467" i="3"/>
  <c r="C61" i="5"/>
  <c r="E138" i="5"/>
  <c r="T678" i="3"/>
  <c r="C81" i="5"/>
  <c r="T915" i="3"/>
  <c r="C123" i="5"/>
  <c r="T1145" i="3"/>
  <c r="U1145" i="3" s="1"/>
  <c r="V1145" i="3" s="1"/>
  <c r="C166" i="5"/>
  <c r="U1026" i="3"/>
  <c r="V1026" i="3" s="1"/>
  <c r="U917" i="3"/>
  <c r="V917" i="3" s="1"/>
  <c r="U918" i="3"/>
  <c r="U919" i="3"/>
  <c r="V919" i="3" s="1"/>
  <c r="V405" i="3"/>
  <c r="V55" i="3"/>
  <c r="V601" i="3"/>
  <c r="Y347" i="3"/>
  <c r="Y759" i="3"/>
  <c r="V763" i="3"/>
  <c r="V766" i="3"/>
  <c r="V76" i="3"/>
  <c r="V17" i="3"/>
  <c r="V151" i="3"/>
  <c r="Y380" i="3"/>
  <c r="Y500" i="3"/>
  <c r="Y924" i="3"/>
  <c r="Y1154" i="3"/>
  <c r="Y1225" i="3"/>
  <c r="Y457" i="3"/>
  <c r="V495" i="3"/>
  <c r="Y542" i="3"/>
  <c r="V710" i="3"/>
  <c r="K786" i="3"/>
  <c r="Y915" i="3"/>
  <c r="Y1206" i="3"/>
  <c r="Y1221" i="3"/>
  <c r="V95" i="3"/>
  <c r="V279" i="3"/>
  <c r="V764" i="3"/>
  <c r="Y850" i="3"/>
  <c r="Y1125" i="3"/>
  <c r="Y1164" i="3"/>
  <c r="V23" i="3"/>
  <c r="V322" i="3"/>
  <c r="V328" i="3"/>
  <c r="Y1160" i="3"/>
  <c r="Y1204" i="3"/>
  <c r="V35" i="3"/>
  <c r="V37" i="3"/>
  <c r="V41" i="3"/>
  <c r="V52" i="3"/>
  <c r="V123" i="3"/>
  <c r="Y279" i="3"/>
  <c r="U340" i="3"/>
  <c r="V342" i="3"/>
  <c r="V604" i="3"/>
  <c r="Y895" i="3"/>
  <c r="Y904" i="3"/>
  <c r="V1068" i="3"/>
  <c r="Y1100" i="3"/>
  <c r="Y1127" i="3"/>
  <c r="Y1182" i="3"/>
  <c r="V566" i="3"/>
  <c r="Y805" i="3"/>
  <c r="V827" i="3"/>
  <c r="Y876" i="3"/>
  <c r="Y951" i="3"/>
  <c r="V978" i="3"/>
  <c r="V1036" i="3"/>
  <c r="S344" i="3"/>
  <c r="Y492" i="3"/>
  <c r="Y1095" i="3"/>
  <c r="Y1162" i="3"/>
  <c r="V1178" i="3"/>
  <c r="Y1219" i="3"/>
  <c r="V134" i="3"/>
  <c r="Y428" i="3"/>
  <c r="V464" i="3"/>
  <c r="Y823" i="3"/>
  <c r="V46" i="3"/>
  <c r="V68" i="3"/>
  <c r="V71" i="3"/>
  <c r="V93" i="3"/>
  <c r="V188" i="3"/>
  <c r="Y224" i="3"/>
  <c r="V277" i="3"/>
  <c r="Y479" i="3"/>
  <c r="K678" i="3"/>
  <c r="Y889" i="3"/>
  <c r="U895" i="3"/>
  <c r="V895" i="3" s="1"/>
  <c r="V990" i="3"/>
  <c r="V1046" i="3"/>
  <c r="V1050" i="3"/>
  <c r="Y1057" i="3"/>
  <c r="V1105" i="3"/>
  <c r="U1108" i="3"/>
  <c r="V1108" i="3" s="1"/>
  <c r="V1112" i="3"/>
  <c r="Y1208" i="3"/>
  <c r="Y1119" i="3"/>
  <c r="V208" i="3"/>
  <c r="V269" i="3"/>
  <c r="V319" i="3"/>
  <c r="V559" i="3"/>
  <c r="V769" i="3"/>
  <c r="V795" i="3"/>
  <c r="V797" i="3"/>
  <c r="V28" i="3"/>
  <c r="V187" i="3"/>
  <c r="V214" i="3"/>
  <c r="V230" i="3"/>
  <c r="V343" i="3"/>
  <c r="V684" i="3"/>
  <c r="V785" i="3"/>
  <c r="V790" i="3"/>
  <c r="V1002" i="3"/>
  <c r="S347" i="3"/>
  <c r="V1049" i="3"/>
  <c r="V1078" i="3"/>
  <c r="U1138" i="3"/>
  <c r="U1166" i="3"/>
  <c r="V1203" i="3"/>
  <c r="S1208" i="3"/>
  <c r="V1214" i="3"/>
  <c r="V1224" i="3"/>
  <c r="S1119" i="3"/>
  <c r="V179" i="3"/>
  <c r="V111" i="3"/>
  <c r="V155" i="3"/>
  <c r="V157" i="3"/>
  <c r="V211" i="3"/>
  <c r="V227" i="3"/>
  <c r="V265" i="3"/>
  <c r="V271" i="3"/>
  <c r="V278" i="3"/>
  <c r="V339" i="3"/>
  <c r="V360" i="3"/>
  <c r="V362" i="3"/>
  <c r="V371" i="3"/>
  <c r="V401" i="3"/>
  <c r="V416" i="3"/>
  <c r="V481" i="3"/>
  <c r="V483" i="3"/>
  <c r="V485" i="3"/>
  <c r="V602" i="3"/>
  <c r="V732" i="3"/>
  <c r="V856" i="3"/>
  <c r="S863" i="3"/>
  <c r="V993" i="3"/>
  <c r="V1032" i="3"/>
  <c r="V1195" i="3"/>
  <c r="V42" i="3"/>
  <c r="V56" i="3"/>
  <c r="V48" i="3"/>
  <c r="V60" i="3"/>
  <c r="V64" i="3"/>
  <c r="V66" i="3"/>
  <c r="V82" i="3"/>
  <c r="V89" i="3"/>
  <c r="V92" i="3"/>
  <c r="V140" i="3"/>
  <c r="V148" i="3"/>
  <c r="V330" i="3"/>
  <c r="V393" i="3"/>
  <c r="V441" i="3"/>
  <c r="V571" i="3"/>
  <c r="V579" i="3"/>
  <c r="S928" i="3"/>
  <c r="V988" i="3"/>
  <c r="V1080" i="3"/>
  <c r="S1095" i="3"/>
  <c r="V27" i="3"/>
  <c r="V49" i="3"/>
  <c r="V98" i="3"/>
  <c r="V221" i="3"/>
  <c r="V283" i="3"/>
  <c r="V332" i="3"/>
  <c r="V372" i="3"/>
  <c r="V427" i="3"/>
  <c r="V436" i="3"/>
  <c r="V440" i="3"/>
  <c r="V511" i="3"/>
  <c r="V596" i="3"/>
  <c r="V617" i="3"/>
  <c r="V935" i="3"/>
  <c r="V977" i="3"/>
  <c r="V979" i="3"/>
  <c r="V982" i="3"/>
  <c r="V985" i="3"/>
  <c r="V1120" i="3"/>
  <c r="V24" i="3"/>
  <c r="V44" i="3"/>
  <c r="V50" i="3"/>
  <c r="V85" i="3"/>
  <c r="V101" i="3"/>
  <c r="V158" i="3"/>
  <c r="V160" i="3"/>
  <c r="V235" i="3"/>
  <c r="V249" i="3"/>
  <c r="V251" i="3"/>
  <c r="S281" i="3"/>
  <c r="V301" i="3"/>
  <c r="V303" i="3"/>
  <c r="V305" i="3"/>
  <c r="V507" i="3"/>
  <c r="V582" i="3"/>
  <c r="V584" i="3"/>
  <c r="V586" i="3"/>
  <c r="V588" i="3"/>
  <c r="V590" i="3"/>
  <c r="V592" i="3"/>
  <c r="V594" i="3"/>
  <c r="V725" i="3"/>
  <c r="V760" i="3"/>
  <c r="V817" i="3"/>
  <c r="V967" i="3"/>
  <c r="V1008" i="3"/>
  <c r="V1010" i="3"/>
  <c r="V1011" i="3"/>
  <c r="V1013" i="3"/>
  <c r="V1037" i="3"/>
  <c r="V1039" i="3"/>
  <c r="V91" i="3"/>
  <c r="V99" i="3"/>
  <c r="V149" i="3"/>
  <c r="V234" i="3"/>
  <c r="Y267" i="3"/>
  <c r="V365" i="3"/>
  <c r="Y846" i="3"/>
  <c r="S910" i="3"/>
  <c r="Y1098" i="3"/>
  <c r="Y1131" i="3"/>
  <c r="Y1145" i="3"/>
  <c r="V21" i="3"/>
  <c r="V133" i="3"/>
  <c r="V246" i="3"/>
  <c r="V285" i="3"/>
  <c r="V30" i="3"/>
  <c r="V33" i="3"/>
  <c r="V53" i="3"/>
  <c r="V67" i="3"/>
  <c r="V69" i="3"/>
  <c r="V77" i="3"/>
  <c r="V128" i="3"/>
  <c r="V141" i="3"/>
  <c r="V146" i="3"/>
  <c r="V169" i="3"/>
  <c r="V191" i="3"/>
  <c r="V219" i="3"/>
  <c r="Y298" i="3"/>
  <c r="V313" i="3"/>
  <c r="V361" i="3"/>
  <c r="V368" i="3"/>
  <c r="S385" i="3"/>
  <c r="V389" i="3"/>
  <c r="Y395" i="3"/>
  <c r="V496" i="3"/>
  <c r="Y518" i="3"/>
  <c r="S518" i="3"/>
  <c r="V572" i="3"/>
  <c r="V574" i="3"/>
  <c r="V615" i="3"/>
  <c r="S915" i="3"/>
  <c r="Y938" i="3"/>
  <c r="V970" i="3"/>
  <c r="Y1072" i="3"/>
  <c r="V1075" i="3"/>
  <c r="V1084" i="3"/>
  <c r="S1211" i="3"/>
  <c r="Y373" i="3"/>
  <c r="Y390" i="3"/>
  <c r="S390" i="3"/>
  <c r="Y413" i="3"/>
  <c r="V431" i="3"/>
  <c r="V444" i="3"/>
  <c r="V450" i="3"/>
  <c r="V475" i="3"/>
  <c r="S502" i="3"/>
  <c r="K523" i="3"/>
  <c r="K14" i="3" s="1"/>
  <c r="V547" i="3"/>
  <c r="V549" i="3"/>
  <c r="V562" i="3"/>
  <c r="V567" i="3"/>
  <c r="V568" i="3"/>
  <c r="V618" i="3"/>
  <c r="V713" i="3"/>
  <c r="V715" i="3"/>
  <c r="V717" i="3"/>
  <c r="V815" i="3"/>
  <c r="Y838" i="3"/>
  <c r="Y879" i="3"/>
  <c r="V900" i="3"/>
  <c r="Y936" i="3"/>
  <c r="V961" i="3"/>
  <c r="V963" i="3"/>
  <c r="V965" i="3"/>
  <c r="V996" i="3"/>
  <c r="V998" i="3"/>
  <c r="V1000" i="3"/>
  <c r="V1005" i="3"/>
  <c r="V1007" i="3"/>
  <c r="V1009" i="3"/>
  <c r="V1090" i="3"/>
  <c r="Y1093" i="3"/>
  <c r="V1124" i="3"/>
  <c r="Y1148" i="3"/>
  <c r="V1177" i="3"/>
  <c r="Y1196" i="3"/>
  <c r="S1196" i="3"/>
  <c r="V1213" i="3"/>
  <c r="V19" i="3"/>
  <c r="V31" i="3"/>
  <c r="V118" i="3"/>
  <c r="V186" i="3"/>
  <c r="V201" i="3"/>
  <c r="V209" i="3"/>
  <c r="V240" i="3"/>
  <c r="V247" i="3"/>
  <c r="V252" i="3"/>
  <c r="V302" i="3"/>
  <c r="V314" i="3"/>
  <c r="V327" i="3"/>
  <c r="V340" i="3"/>
  <c r="V354" i="3"/>
  <c r="V359" i="3"/>
  <c r="V366" i="3"/>
  <c r="V370" i="3"/>
  <c r="V410" i="3"/>
  <c r="V442" i="3"/>
  <c r="V470" i="3"/>
  <c r="V512" i="3"/>
  <c r="S538" i="3"/>
  <c r="J544" i="3"/>
  <c r="R544" i="3"/>
  <c r="C15" i="4" s="1"/>
  <c r="V563" i="3"/>
  <c r="V569" i="3"/>
  <c r="V573" i="3"/>
  <c r="V578" i="3"/>
  <c r="V589" i="3"/>
  <c r="V598" i="3"/>
  <c r="V616" i="3"/>
  <c r="V51" i="3"/>
  <c r="V62" i="3"/>
  <c r="V72" i="3"/>
  <c r="V79" i="3"/>
  <c r="V81" i="3"/>
  <c r="V86" i="3"/>
  <c r="V97" i="3"/>
  <c r="V238" i="3"/>
  <c r="V262" i="3"/>
  <c r="V270" i="3"/>
  <c r="V273" i="3"/>
  <c r="V275" i="3"/>
  <c r="V25" i="3"/>
  <c r="V36" i="3"/>
  <c r="V58" i="3"/>
  <c r="V65" i="3"/>
  <c r="V70" i="3"/>
  <c r="V78" i="3"/>
  <c r="V104" i="3"/>
  <c r="V109" i="3"/>
  <c r="V110" i="3"/>
  <c r="V112" i="3"/>
  <c r="V122" i="3"/>
  <c r="V136" i="3"/>
  <c r="V139" i="3"/>
  <c r="V164" i="3"/>
  <c r="V166" i="3"/>
  <c r="V168" i="3"/>
  <c r="V174" i="3"/>
  <c r="V177" i="3"/>
  <c r="V203" i="3"/>
  <c r="V210" i="3"/>
  <c r="V308" i="3"/>
  <c r="Y316" i="3"/>
  <c r="V323" i="3"/>
  <c r="Y340" i="3"/>
  <c r="Y355" i="3"/>
  <c r="V363" i="3"/>
  <c r="Y385" i="3"/>
  <c r="V392" i="3"/>
  <c r="S415" i="3"/>
  <c r="Y437" i="3"/>
  <c r="V466" i="3"/>
  <c r="Y488" i="3"/>
  <c r="S492" i="3"/>
  <c r="Y507" i="3"/>
  <c r="Y545" i="3"/>
  <c r="V552" i="3"/>
  <c r="V558" i="3"/>
  <c r="V560" i="3"/>
  <c r="V600" i="3"/>
  <c r="V610" i="3"/>
  <c r="V613" i="3"/>
  <c r="U846" i="3"/>
  <c r="V846" i="3" s="1"/>
  <c r="V847" i="3"/>
  <c r="V74" i="3"/>
  <c r="V172" i="3"/>
  <c r="V215" i="3"/>
  <c r="V217" i="3"/>
  <c r="Y259" i="3"/>
  <c r="S259" i="3"/>
  <c r="Y274" i="3"/>
  <c r="Y434" i="3"/>
  <c r="Y449" i="3"/>
  <c r="Y467" i="3"/>
  <c r="Y502" i="3"/>
  <c r="V603" i="3"/>
  <c r="V694" i="3"/>
  <c r="V703" i="3"/>
  <c r="V712" i="3"/>
  <c r="V714" i="3"/>
  <c r="V765" i="3"/>
  <c r="V789" i="3"/>
  <c r="Y887" i="3"/>
  <c r="V909" i="3"/>
  <c r="V944" i="3"/>
  <c r="V958" i="3"/>
  <c r="V962" i="3"/>
  <c r="V964" i="3"/>
  <c r="V989" i="3"/>
  <c r="V997" i="3"/>
  <c r="V1004" i="3"/>
  <c r="V1043" i="3"/>
  <c r="V1055" i="3"/>
  <c r="V1062" i="3"/>
  <c r="V548" i="3"/>
  <c r="V555" i="3"/>
  <c r="V557" i="3"/>
  <c r="V576" i="3"/>
  <c r="V593" i="3"/>
  <c r="V595" i="3"/>
  <c r="V605" i="3"/>
  <c r="V687" i="3"/>
  <c r="V700" i="3"/>
  <c r="V702" i="3"/>
  <c r="V707" i="3"/>
  <c r="V709" i="3"/>
  <c r="V791" i="3"/>
  <c r="V793" i="3"/>
  <c r="U816" i="3"/>
  <c r="V816" i="3" s="1"/>
  <c r="V830" i="3"/>
  <c r="V859" i="3"/>
  <c r="S876" i="3"/>
  <c r="V912" i="3"/>
  <c r="V966" i="3"/>
  <c r="V992" i="3"/>
  <c r="V994" i="3"/>
  <c r="V1006" i="3"/>
  <c r="V1059" i="3"/>
  <c r="V1066" i="3"/>
  <c r="S1072" i="3"/>
  <c r="S1145" i="3"/>
  <c r="Y868" i="3"/>
  <c r="T887" i="3"/>
  <c r="Y922" i="3"/>
  <c r="Y932" i="3"/>
  <c r="S932" i="3"/>
  <c r="V973" i="3"/>
  <c r="V1104" i="3"/>
  <c r="V1123" i="3"/>
  <c r="S1122" i="3"/>
  <c r="V1173" i="3"/>
  <c r="V1179" i="3"/>
  <c r="Y1180" i="3"/>
  <c r="V711" i="3"/>
  <c r="V723" i="3"/>
  <c r="S825" i="3"/>
  <c r="V835" i="3"/>
  <c r="K832" i="3"/>
  <c r="Y848" i="3"/>
  <c r="S895" i="3"/>
  <c r="V907" i="3"/>
  <c r="V911" i="3"/>
  <c r="S942" i="3"/>
  <c r="V950" i="3"/>
  <c r="V980" i="3"/>
  <c r="V1001" i="3"/>
  <c r="V1045" i="3"/>
  <c r="V1052" i="3"/>
  <c r="V1060" i="3"/>
  <c r="V1061" i="3"/>
  <c r="Y1081" i="3"/>
  <c r="S1085" i="3"/>
  <c r="V1089" i="3"/>
  <c r="S1102" i="3"/>
  <c r="V1106" i="3"/>
  <c r="S1141" i="3"/>
  <c r="V1194" i="3"/>
  <c r="Y1217" i="3"/>
  <c r="S1138" i="3"/>
  <c r="Y1172" i="3"/>
  <c r="V1188" i="3"/>
  <c r="Y1215" i="3"/>
  <c r="S1150" i="3"/>
  <c r="V550" i="3"/>
  <c r="U1125" i="3"/>
  <c r="V1125" i="3" s="1"/>
  <c r="V1126" i="3"/>
  <c r="V1130" i="3"/>
  <c r="U1129" i="3"/>
  <c r="V20" i="3"/>
  <c r="V26" i="3"/>
  <c r="V29" i="3"/>
  <c r="V32" i="3"/>
  <c r="V63" i="3"/>
  <c r="V73" i="3"/>
  <c r="V80" i="3"/>
  <c r="V199" i="3"/>
  <c r="V213" i="3"/>
  <c r="V254" i="3"/>
  <c r="V309" i="3"/>
  <c r="V329" i="3"/>
  <c r="V331" i="3"/>
  <c r="V367" i="3"/>
  <c r="V402" i="3"/>
  <c r="V412" i="3"/>
  <c r="S461" i="3"/>
  <c r="V534" i="3"/>
  <c r="U532" i="3"/>
  <c r="V581" i="3"/>
  <c r="V897" i="3"/>
  <c r="V47" i="3"/>
  <c r="V94" i="3"/>
  <c r="V105" i="3"/>
  <c r="V115" i="3"/>
  <c r="U117" i="3"/>
  <c r="Y150" i="3"/>
  <c r="V161" i="3"/>
  <c r="V205" i="3"/>
  <c r="S224" i="3"/>
  <c r="V243" i="3"/>
  <c r="V264" i="3"/>
  <c r="V287" i="3"/>
  <c r="V306" i="3"/>
  <c r="U377" i="3"/>
  <c r="V377" i="3" s="1"/>
  <c r="S380" i="3"/>
  <c r="Y420" i="3"/>
  <c r="S434" i="3"/>
  <c r="Y447" i="3"/>
  <c r="Y451" i="3"/>
  <c r="Y490" i="3"/>
  <c r="V490" i="3"/>
  <c r="V497" i="3"/>
  <c r="V510" i="3"/>
  <c r="U509" i="3"/>
  <c r="V513" i="3"/>
  <c r="S532" i="3"/>
  <c r="V565" i="3"/>
  <c r="U866" i="3"/>
  <c r="V866" i="3" s="1"/>
  <c r="V867" i="3"/>
  <c r="U887" i="3"/>
  <c r="V888" i="3"/>
  <c r="V18" i="3"/>
  <c r="V22" i="3"/>
  <c r="V40" i="3"/>
  <c r="V54" i="3"/>
  <c r="V59" i="3"/>
  <c r="V84" i="3"/>
  <c r="V100" i="3"/>
  <c r="V106" i="3"/>
  <c r="V113" i="3"/>
  <c r="V125" i="3"/>
  <c r="S150" i="3"/>
  <c r="V320" i="3"/>
  <c r="V338" i="3"/>
  <c r="V350" i="3"/>
  <c r="S357" i="3"/>
  <c r="S15" i="3"/>
  <c r="V87" i="3"/>
  <c r="V90" i="3"/>
  <c r="V138" i="3"/>
  <c r="V156" i="3"/>
  <c r="V195" i="3"/>
  <c r="V197" i="3"/>
  <c r="V222" i="3"/>
  <c r="V226" i="3"/>
  <c r="V239" i="3"/>
  <c r="U268" i="3"/>
  <c r="U267" i="3" s="1"/>
  <c r="V267" i="3" s="1"/>
  <c r="S274" i="3"/>
  <c r="S373" i="3"/>
  <c r="S428" i="3"/>
  <c r="I544" i="3"/>
  <c r="T544" i="3" s="1"/>
  <c r="Y866" i="3"/>
  <c r="V999" i="3"/>
  <c r="Y190" i="3"/>
  <c r="V194" i="3"/>
  <c r="V196" i="3"/>
  <c r="V212" i="3"/>
  <c r="U307" i="3"/>
  <c r="U298" i="3" s="1"/>
  <c r="V298" i="3" s="1"/>
  <c r="V318" i="3"/>
  <c r="V321" i="3"/>
  <c r="S316" i="3"/>
  <c r="V325" i="3"/>
  <c r="Y333" i="3"/>
  <c r="S333" i="3"/>
  <c r="Y378" i="3"/>
  <c r="Y397" i="3"/>
  <c r="Y405" i="3"/>
  <c r="V419" i="3"/>
  <c r="V430" i="3"/>
  <c r="V446" i="3"/>
  <c r="V482" i="3"/>
  <c r="S479" i="3"/>
  <c r="V488" i="3"/>
  <c r="V503" i="3"/>
  <c r="S509" i="3"/>
  <c r="V561" i="3"/>
  <c r="V575" i="3"/>
  <c r="V597" i="3"/>
  <c r="V685" i="3"/>
  <c r="V693" i="3"/>
  <c r="V794" i="3"/>
  <c r="V858" i="3"/>
  <c r="V860" i="3"/>
  <c r="Q14" i="3"/>
  <c r="S267" i="3"/>
  <c r="Y281" i="3"/>
  <c r="Y284" i="3"/>
  <c r="L14" i="3"/>
  <c r="Y290" i="3"/>
  <c r="S290" i="3"/>
  <c r="S298" i="3"/>
  <c r="V311" i="3"/>
  <c r="S340" i="3"/>
  <c r="U356" i="3"/>
  <c r="U355" i="3" s="1"/>
  <c r="V355" i="3" s="1"/>
  <c r="V381" i="3"/>
  <c r="Y407" i="3"/>
  <c r="S407" i="3"/>
  <c r="Y455" i="3"/>
  <c r="Y459" i="3"/>
  <c r="Y505" i="3"/>
  <c r="L544" i="3"/>
  <c r="K697" i="3"/>
  <c r="V761" i="3"/>
  <c r="V762" i="3"/>
  <c r="V804" i="3"/>
  <c r="T821" i="3"/>
  <c r="U821" i="3" s="1"/>
  <c r="V821" i="3" s="1"/>
  <c r="Y821" i="3"/>
  <c r="V829" i="3"/>
  <c r="V934" i="3"/>
  <c r="V975" i="3"/>
  <c r="V976" i="3"/>
  <c r="V984" i="3"/>
  <c r="V1047" i="3"/>
  <c r="V1063" i="3"/>
  <c r="V540" i="3"/>
  <c r="V612" i="3"/>
  <c r="Y678" i="3"/>
  <c r="U697" i="3"/>
  <c r="V721" i="3"/>
  <c r="V724" i="3"/>
  <c r="S805" i="3"/>
  <c r="V807" i="3"/>
  <c r="V812" i="3"/>
  <c r="V837" i="3"/>
  <c r="V855" i="3"/>
  <c r="S870" i="3"/>
  <c r="S904" i="3"/>
  <c r="V906" i="3"/>
  <c r="J955" i="3"/>
  <c r="R955" i="3"/>
  <c r="V969" i="3"/>
  <c r="V986" i="3"/>
  <c r="V1034" i="3"/>
  <c r="V1053" i="3"/>
  <c r="V1076" i="3"/>
  <c r="V1079" i="3"/>
  <c r="S1081" i="3"/>
  <c r="U1107" i="3"/>
  <c r="V1107" i="3" s="1"/>
  <c r="U1154" i="3"/>
  <c r="V1154" i="3" s="1"/>
  <c r="V1155" i="3"/>
  <c r="V1159" i="3"/>
  <c r="Y523" i="3"/>
  <c r="S523" i="3"/>
  <c r="V606" i="3"/>
  <c r="S759" i="3"/>
  <c r="S782" i="3"/>
  <c r="V798" i="3"/>
  <c r="V799" i="3"/>
  <c r="V800" i="3"/>
  <c r="V801" i="3"/>
  <c r="V802" i="3"/>
  <c r="V803" i="3"/>
  <c r="V828" i="3"/>
  <c r="V857" i="3"/>
  <c r="V908" i="3"/>
  <c r="Y946" i="3"/>
  <c r="V959" i="3"/>
  <c r="V971" i="3"/>
  <c r="V995" i="3"/>
  <c r="V1003" i="3"/>
  <c r="V1035" i="3"/>
  <c r="U1087" i="3"/>
  <c r="V1103" i="3"/>
  <c r="V587" i="3"/>
  <c r="V701" i="3"/>
  <c r="V728" i="3"/>
  <c r="U810" i="3"/>
  <c r="V810" i="3" s="1"/>
  <c r="Y816" i="3"/>
  <c r="U826" i="3"/>
  <c r="V826" i="3" s="1"/>
  <c r="Y840" i="3"/>
  <c r="Y842" i="3"/>
  <c r="Y891" i="3"/>
  <c r="S899" i="3"/>
  <c r="V931" i="3"/>
  <c r="V974" i="3"/>
  <c r="V1048" i="3"/>
  <c r="Y1122" i="3"/>
  <c r="V1163" i="3"/>
  <c r="U1186" i="3"/>
  <c r="V1186" i="3" s="1"/>
  <c r="Y808" i="3"/>
  <c r="S808" i="3"/>
  <c r="S818" i="3"/>
  <c r="Y832" i="3"/>
  <c r="S832" i="3"/>
  <c r="Y861" i="3"/>
  <c r="Q544" i="3"/>
  <c r="Y881" i="3"/>
  <c r="Y883" i="3"/>
  <c r="Y926" i="3"/>
  <c r="Y948" i="3"/>
  <c r="S948" i="3"/>
  <c r="V991" i="3"/>
  <c r="V1056" i="3"/>
  <c r="S1088" i="3"/>
  <c r="V1162" i="3"/>
  <c r="S1166" i="3"/>
  <c r="Y1174" i="3"/>
  <c r="U1176" i="3"/>
  <c r="Y1186" i="3"/>
  <c r="Y1211" i="3"/>
  <c r="Y1184" i="3"/>
  <c r="S1186" i="3"/>
  <c r="V1191" i="3"/>
  <c r="S1192" i="3"/>
  <c r="V1210" i="3"/>
  <c r="V1223" i="3"/>
  <c r="S1221" i="3"/>
  <c r="Y940" i="3"/>
  <c r="V945" i="3"/>
  <c r="Y956" i="3"/>
  <c r="V960" i="3"/>
  <c r="V1033" i="3"/>
  <c r="V1038" i="3"/>
  <c r="V1044" i="3"/>
  <c r="V1054" i="3"/>
  <c r="V1064" i="3"/>
  <c r="V1065" i="3"/>
  <c r="V1067" i="3"/>
  <c r="Y1069" i="3"/>
  <c r="S1069" i="3"/>
  <c r="V1074" i="3"/>
  <c r="Y1110" i="3"/>
  <c r="S1110" i="3"/>
  <c r="Y1113" i="3"/>
  <c r="V1118" i="3"/>
  <c r="V1140" i="3"/>
  <c r="S1176" i="3"/>
  <c r="S1189" i="3"/>
  <c r="Y1192" i="3"/>
  <c r="Y1201" i="3"/>
  <c r="S1201" i="3"/>
  <c r="U1218" i="3"/>
  <c r="U1217" i="3" s="1"/>
  <c r="V1217" i="3" s="1"/>
  <c r="V286" i="3"/>
  <c r="U284" i="3"/>
  <c r="V284" i="3" s="1"/>
  <c r="V358" i="3"/>
  <c r="U357" i="3"/>
  <c r="V357" i="3" s="1"/>
  <c r="V282" i="3"/>
  <c r="U281" i="3"/>
  <c r="V281" i="3" s="1"/>
  <c r="V517" i="3"/>
  <c r="U516" i="3"/>
  <c r="U545" i="3"/>
  <c r="V546" i="3"/>
  <c r="V1226" i="3"/>
  <c r="U1225" i="3"/>
  <c r="V1225" i="3" s="1"/>
  <c r="V43" i="3"/>
  <c r="V57" i="3"/>
  <c r="V116" i="3"/>
  <c r="U150" i="3"/>
  <c r="V150" i="3" s="1"/>
  <c r="V216" i="3"/>
  <c r="T231" i="3"/>
  <c r="Y231" i="3"/>
  <c r="V241" i="3"/>
  <c r="J14" i="3"/>
  <c r="R14" i="3"/>
  <c r="V310" i="3"/>
  <c r="V312" i="3"/>
  <c r="V315" i="3"/>
  <c r="V396" i="3"/>
  <c r="U395" i="3"/>
  <c r="V395" i="3" s="1"/>
  <c r="U434" i="3"/>
  <c r="V434" i="3" s="1"/>
  <c r="V435" i="3"/>
  <c r="U479" i="3"/>
  <c r="V479" i="3" s="1"/>
  <c r="V480" i="3"/>
  <c r="U492" i="3"/>
  <c r="V492" i="3" s="1"/>
  <c r="V493" i="3"/>
  <c r="V225" i="3"/>
  <c r="U224" i="3"/>
  <c r="V224" i="3" s="1"/>
  <c r="V352" i="3"/>
  <c r="U351" i="3"/>
  <c r="V351" i="3" s="1"/>
  <c r="V418" i="3"/>
  <c r="U415" i="3"/>
  <c r="V415" i="3" s="1"/>
  <c r="U1206" i="3"/>
  <c r="V1206" i="3" s="1"/>
  <c r="V1207" i="3"/>
  <c r="V38" i="3"/>
  <c r="V45" i="3"/>
  <c r="V61" i="3"/>
  <c r="V103" i="3"/>
  <c r="T117" i="3"/>
  <c r="I14" i="3"/>
  <c r="Y117" i="3"/>
  <c r="V130" i="3"/>
  <c r="V192" i="3"/>
  <c r="U190" i="3"/>
  <c r="V190" i="3" s="1"/>
  <c r="V193" i="3"/>
  <c r="V218" i="3"/>
  <c r="V291" i="3"/>
  <c r="U290" i="3"/>
  <c r="V290" i="3" s="1"/>
  <c r="T296" i="3"/>
  <c r="U296" i="3" s="1"/>
  <c r="V296" i="3" s="1"/>
  <c r="Y296" i="3"/>
  <c r="V299" i="3"/>
  <c r="V300" i="3"/>
  <c r="U347" i="3"/>
  <c r="V347" i="3" s="1"/>
  <c r="V16" i="3"/>
  <c r="U15" i="3"/>
  <c r="U333" i="3"/>
  <c r="V333" i="3" s="1"/>
  <c r="V337" i="3"/>
  <c r="S117" i="3"/>
  <c r="V178" i="3"/>
  <c r="V181" i="3"/>
  <c r="S190" i="3"/>
  <c r="V207" i="3"/>
  <c r="V220" i="3"/>
  <c r="U231" i="3"/>
  <c r="S231" i="3"/>
  <c r="U259" i="3"/>
  <c r="V259" i="3" s="1"/>
  <c r="V260" i="3"/>
  <c r="V266" i="3"/>
  <c r="U274" i="3"/>
  <c r="V274" i="3" s="1"/>
  <c r="S284" i="3"/>
  <c r="U316" i="3"/>
  <c r="V316" i="3" s="1"/>
  <c r="V317" i="3"/>
  <c r="V341" i="3"/>
  <c r="T344" i="3"/>
  <c r="U344" i="3" s="1"/>
  <c r="V344" i="3" s="1"/>
  <c r="Y344" i="3"/>
  <c r="V374" i="3"/>
  <c r="U373" i="3"/>
  <c r="V373" i="3" s="1"/>
  <c r="U380" i="3"/>
  <c r="V380" i="3" s="1"/>
  <c r="T521" i="3"/>
  <c r="U521" i="3" s="1"/>
  <c r="V521" i="3" s="1"/>
  <c r="Y521" i="3"/>
  <c r="Y376" i="3"/>
  <c r="U388" i="3"/>
  <c r="V388" i="3" s="1"/>
  <c r="S397" i="3"/>
  <c r="U420" i="3"/>
  <c r="V420" i="3" s="1"/>
  <c r="V421" i="3"/>
  <c r="V422" i="3"/>
  <c r="U437" i="3"/>
  <c r="V437" i="3" s="1"/>
  <c r="V438" i="3"/>
  <c r="V439" i="3"/>
  <c r="V443" i="3"/>
  <c r="U447" i="3"/>
  <c r="V447" i="3" s="1"/>
  <c r="V448" i="3"/>
  <c r="V449" i="3"/>
  <c r="V460" i="3"/>
  <c r="U459" i="3"/>
  <c r="V459" i="3" s="1"/>
  <c r="T461" i="3"/>
  <c r="Y461" i="3"/>
  <c r="V463" i="3"/>
  <c r="U467" i="3"/>
  <c r="V468" i="3"/>
  <c r="V469" i="3"/>
  <c r="V489" i="3"/>
  <c r="V499" i="3"/>
  <c r="U518" i="3"/>
  <c r="V518" i="3" s="1"/>
  <c r="V519" i="3"/>
  <c r="S545" i="3"/>
  <c r="U818" i="3"/>
  <c r="V818" i="3" s="1"/>
  <c r="V819" i="3"/>
  <c r="U863" i="3"/>
  <c r="V863" i="3" s="1"/>
  <c r="V865" i="3"/>
  <c r="V869" i="3"/>
  <c r="U868" i="3"/>
  <c r="V868" i="3" s="1"/>
  <c r="Y357" i="3"/>
  <c r="U385" i="3"/>
  <c r="V385" i="3" s="1"/>
  <c r="V386" i="3"/>
  <c r="Y388" i="3"/>
  <c r="V391" i="3"/>
  <c r="U390" i="3"/>
  <c r="V390" i="3" s="1"/>
  <c r="Y403" i="3"/>
  <c r="V408" i="3"/>
  <c r="U407" i="3"/>
  <c r="V407" i="3" s="1"/>
  <c r="U413" i="3"/>
  <c r="V413" i="3" s="1"/>
  <c r="V414" i="3"/>
  <c r="V429" i="3"/>
  <c r="U428" i="3"/>
  <c r="V428" i="3" s="1"/>
  <c r="T453" i="3"/>
  <c r="U453" i="3" s="1"/>
  <c r="V453" i="3" s="1"/>
  <c r="Y453" i="3"/>
  <c r="U500" i="3"/>
  <c r="V500" i="3" s="1"/>
  <c r="V501" i="3"/>
  <c r="U502" i="3"/>
  <c r="V502" i="3" s="1"/>
  <c r="T509" i="3"/>
  <c r="Y509" i="3"/>
  <c r="T516" i="3"/>
  <c r="Y516" i="3"/>
  <c r="V520" i="3"/>
  <c r="U523" i="3"/>
  <c r="V523" i="3" s="1"/>
  <c r="V524" i="3"/>
  <c r="T532" i="3"/>
  <c r="Y532" i="3"/>
  <c r="Y351" i="3"/>
  <c r="S351" i="3"/>
  <c r="V398" i="3"/>
  <c r="U397" i="3"/>
  <c r="V397" i="3" s="1"/>
  <c r="Y415" i="3"/>
  <c r="S420" i="3"/>
  <c r="V433" i="3"/>
  <c r="S437" i="3"/>
  <c r="U461" i="3"/>
  <c r="V461" i="3" s="1"/>
  <c r="S467" i="3"/>
  <c r="V491" i="3"/>
  <c r="T498" i="3"/>
  <c r="V498" i="3" s="1"/>
  <c r="Y498" i="3"/>
  <c r="T538" i="3"/>
  <c r="V538" i="3" s="1"/>
  <c r="Y538" i="3"/>
  <c r="V543" i="3"/>
  <c r="U542" i="3"/>
  <c r="V542" i="3" s="1"/>
  <c r="V551" i="3"/>
  <c r="V553" i="3"/>
  <c r="V564" i="3"/>
  <c r="V580" i="3"/>
  <c r="V583" i="3"/>
  <c r="V599" i="3"/>
  <c r="V611" i="3"/>
  <c r="V614" i="3"/>
  <c r="U678" i="3"/>
  <c r="V679" i="3"/>
  <c r="V680" i="3"/>
  <c r="S678" i="3"/>
  <c r="V708" i="3"/>
  <c r="V783" i="3"/>
  <c r="U782" i="3"/>
  <c r="V782" i="3" s="1"/>
  <c r="V814" i="3"/>
  <c r="U813" i="3"/>
  <c r="V813" i="3" s="1"/>
  <c r="V843" i="3"/>
  <c r="U842" i="3"/>
  <c r="V842" i="3" s="1"/>
  <c r="V839" i="3"/>
  <c r="U838" i="3"/>
  <c r="V838" i="3" s="1"/>
  <c r="U852" i="3"/>
  <c r="V852" i="3" s="1"/>
  <c r="V853" i="3"/>
  <c r="V862" i="3"/>
  <c r="U861" i="3"/>
  <c r="V861" i="3" s="1"/>
  <c r="V884" i="3"/>
  <c r="U883" i="3"/>
  <c r="V883" i="3" s="1"/>
  <c r="U946" i="3"/>
  <c r="V946" i="3" s="1"/>
  <c r="V947" i="3"/>
  <c r="V949" i="3"/>
  <c r="U948" i="3"/>
  <c r="V948" i="3" s="1"/>
  <c r="V1020" i="3"/>
  <c r="V556" i="3"/>
  <c r="V577" i="3"/>
  <c r="V591" i="3"/>
  <c r="T697" i="3"/>
  <c r="Y697" i="3"/>
  <c r="V698" i="3"/>
  <c r="S697" i="3"/>
  <c r="V716" i="3"/>
  <c r="V806" i="3"/>
  <c r="U805" i="3"/>
  <c r="V805" i="3" s="1"/>
  <c r="V851" i="3"/>
  <c r="U850" i="3"/>
  <c r="V850" i="3" s="1"/>
  <c r="V873" i="3"/>
  <c r="U870" i="3"/>
  <c r="V870" i="3" s="1"/>
  <c r="U759" i="3"/>
  <c r="V759" i="3" s="1"/>
  <c r="V811" i="3"/>
  <c r="U844" i="3"/>
  <c r="V844" i="3" s="1"/>
  <c r="V845" i="3"/>
  <c r="S852" i="3"/>
  <c r="V864" i="3"/>
  <c r="U885" i="3"/>
  <c r="V885" i="3" s="1"/>
  <c r="V886" i="3"/>
  <c r="U899" i="3"/>
  <c r="V899" i="3" s="1"/>
  <c r="V901" i="3"/>
  <c r="V905" i="3"/>
  <c r="U904" i="3"/>
  <c r="V904" i="3" s="1"/>
  <c r="T920" i="3"/>
  <c r="U920" i="3" s="1"/>
  <c r="V920" i="3" s="1"/>
  <c r="Y920" i="3"/>
  <c r="V933" i="3"/>
  <c r="U932" i="3"/>
  <c r="V932" i="3" s="1"/>
  <c r="S1015" i="3"/>
  <c r="U1131" i="3"/>
  <c r="V1131" i="3" s="1"/>
  <c r="V1132" i="3"/>
  <c r="U786" i="3"/>
  <c r="V786" i="3" s="1"/>
  <c r="V787" i="3"/>
  <c r="V792" i="3"/>
  <c r="V809" i="3"/>
  <c r="Y813" i="3"/>
  <c r="S813" i="3"/>
  <c r="Y825" i="3"/>
  <c r="U902" i="3"/>
  <c r="V902" i="3" s="1"/>
  <c r="V903" i="3"/>
  <c r="V930" i="3"/>
  <c r="U928" i="3"/>
  <c r="V943" i="3"/>
  <c r="U942" i="3"/>
  <c r="V957" i="3"/>
  <c r="U956" i="3"/>
  <c r="V768" i="3"/>
  <c r="Y782" i="3"/>
  <c r="S786" i="3"/>
  <c r="V824" i="3"/>
  <c r="U823" i="3"/>
  <c r="V823" i="3" s="1"/>
  <c r="V833" i="3"/>
  <c r="U832" i="3"/>
  <c r="V832" i="3" s="1"/>
  <c r="V841" i="3"/>
  <c r="U840" i="3"/>
  <c r="V840" i="3" s="1"/>
  <c r="V849" i="3"/>
  <c r="U848" i="3"/>
  <c r="V848" i="3" s="1"/>
  <c r="V854" i="3"/>
  <c r="Y863" i="3"/>
  <c r="Y870" i="3"/>
  <c r="V882" i="3"/>
  <c r="U881" i="3"/>
  <c r="V881" i="3" s="1"/>
  <c r="V890" i="3"/>
  <c r="U889" i="3"/>
  <c r="V889" i="3" s="1"/>
  <c r="U910" i="3"/>
  <c r="V952" i="3"/>
  <c r="U951" i="3"/>
  <c r="V951" i="3" s="1"/>
  <c r="T953" i="3"/>
  <c r="V953" i="3" s="1"/>
  <c r="Y953" i="3"/>
  <c r="T1030" i="3"/>
  <c r="Y1030" i="3"/>
  <c r="Y786" i="3"/>
  <c r="Y818" i="3"/>
  <c r="Y844" i="3"/>
  <c r="Y852" i="3"/>
  <c r="Y885" i="3"/>
  <c r="Y893" i="3"/>
  <c r="Y899" i="3"/>
  <c r="Y902" i="3"/>
  <c r="T910" i="3"/>
  <c r="Y910" i="3"/>
  <c r="U922" i="3"/>
  <c r="V922" i="3" s="1"/>
  <c r="V923" i="3"/>
  <c r="V927" i="3"/>
  <c r="U926" i="3"/>
  <c r="V926" i="3" s="1"/>
  <c r="T928" i="3"/>
  <c r="Y928" i="3"/>
  <c r="V968" i="3"/>
  <c r="V983" i="3"/>
  <c r="V987" i="3"/>
  <c r="V1031" i="3"/>
  <c r="S1030" i="3"/>
  <c r="T1091" i="3"/>
  <c r="Y1091" i="3"/>
  <c r="K955" i="3"/>
  <c r="V939" i="3"/>
  <c r="V954" i="3"/>
  <c r="L955" i="3"/>
  <c r="S956" i="3"/>
  <c r="V972" i="3"/>
  <c r="U1030" i="3"/>
  <c r="T913" i="3"/>
  <c r="U913" i="3" s="1"/>
  <c r="V913" i="3" s="1"/>
  <c r="Y913" i="3"/>
  <c r="U936" i="3"/>
  <c r="V936" i="3" s="1"/>
  <c r="V937" i="3"/>
  <c r="V938" i="3"/>
  <c r="V941" i="3"/>
  <c r="U940" i="3"/>
  <c r="V940" i="3" s="1"/>
  <c r="T942" i="3"/>
  <c r="Y942" i="3"/>
  <c r="I955" i="3"/>
  <c r="Q955" i="3"/>
  <c r="T1015" i="3"/>
  <c r="Y1015" i="3"/>
  <c r="T1117" i="3"/>
  <c r="Y1117" i="3"/>
  <c r="U1141" i="3"/>
  <c r="V1142" i="3"/>
  <c r="S1057" i="3"/>
  <c r="T1085" i="3"/>
  <c r="Y1085" i="3"/>
  <c r="T1088" i="3"/>
  <c r="Y1088" i="3"/>
  <c r="V1128" i="3"/>
  <c r="U1127" i="3"/>
  <c r="V1127" i="3" s="1"/>
  <c r="T1129" i="3"/>
  <c r="Y1129" i="3"/>
  <c r="T1141" i="3"/>
  <c r="Y1141" i="3"/>
  <c r="U1148" i="3"/>
  <c r="V1148" i="3" s="1"/>
  <c r="V1149" i="3"/>
  <c r="U1160" i="3"/>
  <c r="V1160" i="3" s="1"/>
  <c r="V1161" i="3"/>
  <c r="V1073" i="3"/>
  <c r="U1072" i="3"/>
  <c r="V1072" i="3" s="1"/>
  <c r="V1092" i="3"/>
  <c r="V1101" i="3"/>
  <c r="U1100" i="3"/>
  <c r="V1100" i="3" s="1"/>
  <c r="T1102" i="3"/>
  <c r="Y1102" i="3"/>
  <c r="V1116" i="3"/>
  <c r="S1131" i="3"/>
  <c r="U1158" i="3"/>
  <c r="V1051" i="3"/>
  <c r="V1058" i="3"/>
  <c r="U1057" i="3"/>
  <c r="V1057" i="3" s="1"/>
  <c r="V1071" i="3"/>
  <c r="U1069" i="3"/>
  <c r="V1069" i="3" s="1"/>
  <c r="U1081" i="3"/>
  <c r="V1081" i="3" s="1"/>
  <c r="V1082" i="3"/>
  <c r="V1083" i="3"/>
  <c r="U1088" i="3"/>
  <c r="U1091" i="3"/>
  <c r="U1093" i="3"/>
  <c r="V1093" i="3" s="1"/>
  <c r="V1094" i="3"/>
  <c r="U1095" i="3"/>
  <c r="V1095" i="3" s="1"/>
  <c r="V1096" i="3"/>
  <c r="V1111" i="3"/>
  <c r="U1110" i="3"/>
  <c r="V1110" i="3" s="1"/>
  <c r="V1114" i="3"/>
  <c r="U1113" i="3"/>
  <c r="V1113" i="3" s="1"/>
  <c r="T1115" i="3"/>
  <c r="V1115" i="3" s="1"/>
  <c r="Y1115" i="3"/>
  <c r="U1117" i="3"/>
  <c r="V1119" i="3"/>
  <c r="V1121" i="3"/>
  <c r="U1122" i="3"/>
  <c r="V1122" i="3" s="1"/>
  <c r="T1138" i="3"/>
  <c r="Y1138" i="3"/>
  <c r="Y1150" i="3"/>
  <c r="V1157" i="3"/>
  <c r="T1158" i="3"/>
  <c r="Y1158" i="3"/>
  <c r="T1170" i="3"/>
  <c r="V1170" i="3" s="1"/>
  <c r="Y1170" i="3"/>
  <c r="U1180" i="3"/>
  <c r="V1180" i="3" s="1"/>
  <c r="V1181" i="3"/>
  <c r="V1193" i="3"/>
  <c r="U1192" i="3"/>
  <c r="V1192" i="3" s="1"/>
  <c r="V1200" i="3"/>
  <c r="U1196" i="3"/>
  <c r="V1196" i="3" s="1"/>
  <c r="V1202" i="3"/>
  <c r="U1201" i="3"/>
  <c r="V1201" i="3" s="1"/>
  <c r="U1156" i="3"/>
  <c r="V1156" i="3" s="1"/>
  <c r="V1172" i="3"/>
  <c r="V1175" i="3"/>
  <c r="U1174" i="3"/>
  <c r="V1174" i="3" s="1"/>
  <c r="T1176" i="3"/>
  <c r="Y1176" i="3"/>
  <c r="V1183" i="3"/>
  <c r="U1182" i="3"/>
  <c r="V1182" i="3" s="1"/>
  <c r="U1208" i="3"/>
  <c r="V1208" i="3" s="1"/>
  <c r="V1209" i="3"/>
  <c r="U1150" i="3"/>
  <c r="V1150" i="3" s="1"/>
  <c r="Y1156" i="3"/>
  <c r="V1165" i="3"/>
  <c r="U1164" i="3"/>
  <c r="V1164" i="3" s="1"/>
  <c r="T1166" i="3"/>
  <c r="Y1166" i="3"/>
  <c r="V1185" i="3"/>
  <c r="U1184" i="3"/>
  <c r="V1184" i="3" s="1"/>
  <c r="V1190" i="3"/>
  <c r="U1189" i="3"/>
  <c r="V1189" i="3" s="1"/>
  <c r="V1205" i="3"/>
  <c r="U1204" i="3"/>
  <c r="V1204" i="3" s="1"/>
  <c r="U1211" i="3"/>
  <c r="V1211" i="3" s="1"/>
  <c r="V1212" i="3"/>
  <c r="U1221" i="3"/>
  <c r="V1221" i="3" s="1"/>
  <c r="V1222" i="3"/>
  <c r="V1187" i="3"/>
  <c r="Y1189" i="3"/>
  <c r="V467" i="3" l="1"/>
  <c r="V678" i="3"/>
  <c r="E10" i="5"/>
  <c r="U915" i="3"/>
  <c r="V915" i="3" s="1"/>
  <c r="U1015" i="3"/>
  <c r="K544" i="3"/>
  <c r="K13" i="3" s="1"/>
  <c r="U808" i="3"/>
  <c r="V808" i="3" s="1"/>
  <c r="V918" i="3"/>
  <c r="U376" i="3"/>
  <c r="V376" i="3" s="1"/>
  <c r="U825" i="3"/>
  <c r="V825" i="3" s="1"/>
  <c r="V1166" i="3"/>
  <c r="V1129" i="3"/>
  <c r="V697" i="3"/>
  <c r="V1176" i="3"/>
  <c r="Q13" i="3"/>
  <c r="L13" i="3"/>
  <c r="V307" i="3"/>
  <c r="V356" i="3"/>
  <c r="U1102" i="3"/>
  <c r="V1218" i="3"/>
  <c r="V268" i="3"/>
  <c r="Y544" i="3"/>
  <c r="V532" i="3"/>
  <c r="V117" i="3"/>
  <c r="V1138" i="3"/>
  <c r="V1117" i="3"/>
  <c r="V910" i="3"/>
  <c r="V231" i="3"/>
  <c r="V509" i="3"/>
  <c r="V887" i="3"/>
  <c r="R13" i="3"/>
  <c r="V1030" i="3"/>
  <c r="J13" i="3"/>
  <c r="V1088" i="3"/>
  <c r="V1102" i="3"/>
  <c r="S14" i="3"/>
  <c r="V1158" i="3"/>
  <c r="V516" i="3"/>
  <c r="V1087" i="3"/>
  <c r="U1085" i="3"/>
  <c r="V1085" i="3" s="1"/>
  <c r="S955" i="3"/>
  <c r="V942" i="3"/>
  <c r="S544" i="3"/>
  <c r="V1141" i="3"/>
  <c r="V1091" i="3"/>
  <c r="V1015" i="3"/>
  <c r="I13" i="3"/>
  <c r="T13" i="3" s="1"/>
  <c r="T14" i="3"/>
  <c r="T955" i="3"/>
  <c r="Y955" i="3"/>
  <c r="V956" i="3"/>
  <c r="V928" i="3"/>
  <c r="V545" i="3"/>
  <c r="U14" i="3" l="1"/>
  <c r="U544" i="3"/>
  <c r="V544" i="3" s="1"/>
  <c r="U955" i="3"/>
  <c r="V955" i="3" s="1"/>
  <c r="S13" i="3"/>
  <c r="U13" i="3" l="1"/>
  <c r="C19" i="4"/>
  <c r="C12" i="4"/>
  <c r="C5" i="4"/>
  <c r="F198" i="5"/>
  <c r="E198" i="5"/>
  <c r="T1234" i="3"/>
  <c r="U1233" i="3"/>
  <c r="S1233" i="3"/>
  <c r="R1233" i="3"/>
  <c r="Q1233" i="3"/>
  <c r="P1233" i="3"/>
  <c r="L1233" i="3"/>
  <c r="K1233" i="3"/>
  <c r="J1233" i="3"/>
  <c r="I1233" i="3"/>
  <c r="T1230" i="3"/>
  <c r="U1229" i="3"/>
  <c r="S1229" i="3"/>
  <c r="R1229" i="3"/>
  <c r="Q1229" i="3"/>
  <c r="P1229" i="3"/>
  <c r="L1229" i="3"/>
  <c r="K1229" i="3"/>
  <c r="J1229" i="3"/>
  <c r="I1229" i="3"/>
  <c r="AC1240" i="7"/>
  <c r="AE1240" i="7"/>
  <c r="AD1240" i="7"/>
  <c r="AB1240" i="7"/>
  <c r="AA1240" i="7"/>
  <c r="Z1240" i="7"/>
  <c r="Y1240" i="7"/>
  <c r="X1240" i="7"/>
  <c r="W1240" i="7"/>
  <c r="V1240" i="7"/>
  <c r="U1240" i="7"/>
  <c r="T1240" i="7"/>
  <c r="S1240" i="7"/>
  <c r="R1240" i="7"/>
  <c r="Q1240" i="7"/>
  <c r="P1240" i="7"/>
  <c r="O1240" i="7"/>
  <c r="N1240" i="7"/>
  <c r="M1240" i="7"/>
  <c r="L1240" i="7"/>
  <c r="K1240" i="7"/>
  <c r="J1240" i="7"/>
  <c r="I1240" i="7"/>
  <c r="H1240" i="7"/>
  <c r="G1240" i="7"/>
  <c r="F1240" i="7"/>
  <c r="E1240" i="7"/>
  <c r="D1240" i="7"/>
  <c r="AC1237" i="7"/>
  <c r="AC1236" i="7" s="1"/>
  <c r="AE1236" i="7"/>
  <c r="AE1235" i="7" s="1"/>
  <c r="AD1236" i="7"/>
  <c r="AD1235" i="7" s="1"/>
  <c r="AB1236" i="7"/>
  <c r="AB1235" i="7" s="1"/>
  <c r="AA1236" i="7"/>
  <c r="AA1235" i="7" s="1"/>
  <c r="Z1236" i="7"/>
  <c r="Z1235" i="7" s="1"/>
  <c r="Y1236" i="7"/>
  <c r="Y1235" i="7" s="1"/>
  <c r="X1236" i="7"/>
  <c r="X1235" i="7" s="1"/>
  <c r="W1236" i="7"/>
  <c r="W1235" i="7" s="1"/>
  <c r="V1236" i="7"/>
  <c r="V1235" i="7" s="1"/>
  <c r="U1236" i="7"/>
  <c r="U1235" i="7" s="1"/>
  <c r="T1236" i="7"/>
  <c r="T1235" i="7" s="1"/>
  <c r="S1236" i="7"/>
  <c r="S1235" i="7" s="1"/>
  <c r="R1236" i="7"/>
  <c r="R1235" i="7" s="1"/>
  <c r="Q1236" i="7"/>
  <c r="Q1235" i="7" s="1"/>
  <c r="P1236" i="7"/>
  <c r="P1235" i="7" s="1"/>
  <c r="O1236" i="7"/>
  <c r="O1235" i="7" s="1"/>
  <c r="N1236" i="7"/>
  <c r="N1235" i="7" s="1"/>
  <c r="M1236" i="7"/>
  <c r="M1235" i="7" s="1"/>
  <c r="L1236" i="7"/>
  <c r="L1235" i="7" s="1"/>
  <c r="K1236" i="7"/>
  <c r="K1235" i="7" s="1"/>
  <c r="J1236" i="7"/>
  <c r="J1235" i="7" s="1"/>
  <c r="I1236" i="7"/>
  <c r="I1235" i="7" s="1"/>
  <c r="H1236" i="7"/>
  <c r="H1235" i="7" s="1"/>
  <c r="G1236" i="7"/>
  <c r="G1235" i="7" s="1"/>
  <c r="F1236" i="7"/>
  <c r="F1235" i="7" s="1"/>
  <c r="E1236" i="7"/>
  <c r="E1235" i="7" s="1"/>
  <c r="D1236" i="7"/>
  <c r="EU1233" i="7"/>
  <c r="CK1233" i="7"/>
  <c r="CH1233" i="7"/>
  <c r="K1228" i="3" l="1"/>
  <c r="R1228" i="3"/>
  <c r="C28" i="4" s="1"/>
  <c r="D201" i="5"/>
  <c r="D198" i="5" s="1"/>
  <c r="C201" i="5"/>
  <c r="C198" i="5" s="1"/>
  <c r="I1228" i="3"/>
  <c r="P1228" i="3"/>
  <c r="L1228" i="3"/>
  <c r="S1228" i="3"/>
  <c r="C29" i="4" s="1"/>
  <c r="Q1228" i="3"/>
  <c r="C27" i="4" s="1"/>
  <c r="J1228" i="3"/>
  <c r="AC1235" i="7"/>
  <c r="D1235" i="7"/>
  <c r="U1228" i="3"/>
  <c r="T1233" i="3"/>
  <c r="T1229" i="3"/>
  <c r="T1228" i="3" l="1"/>
  <c r="N385" i="7"/>
  <c r="N383" i="7"/>
  <c r="H381" i="7"/>
  <c r="N288" i="7"/>
  <c r="E300" i="7"/>
  <c r="B843" i="7" l="1"/>
  <c r="B738" i="7"/>
  <c r="N736" i="7"/>
  <c r="D625" i="7" l="1"/>
  <c r="B625" i="7"/>
  <c r="D681" i="7"/>
  <c r="B681" i="7"/>
  <c r="D680" i="7"/>
  <c r="B680" i="7"/>
  <c r="D1018" i="7"/>
  <c r="B1018" i="7"/>
  <c r="D1017" i="7"/>
  <c r="B1017" i="7"/>
  <c r="B121" i="7" l="1"/>
  <c r="B122" i="7"/>
  <c r="D121" i="7"/>
  <c r="AC81" i="7"/>
  <c r="AC900" i="7"/>
  <c r="D900" i="7" s="1"/>
  <c r="D899" i="7" s="1"/>
  <c r="B900" i="7"/>
  <c r="AE899" i="7"/>
  <c r="AD899" i="7"/>
  <c r="AB899" i="7"/>
  <c r="AA899" i="7"/>
  <c r="Z899" i="7"/>
  <c r="Y899" i="7"/>
  <c r="X899" i="7"/>
  <c r="W899" i="7"/>
  <c r="V899" i="7"/>
  <c r="U899" i="7"/>
  <c r="T899" i="7"/>
  <c r="S899" i="7"/>
  <c r="R899" i="7"/>
  <c r="Q899" i="7"/>
  <c r="P899" i="7"/>
  <c r="O899" i="7"/>
  <c r="N899" i="7"/>
  <c r="M899" i="7"/>
  <c r="L899" i="7"/>
  <c r="K899" i="7"/>
  <c r="J899" i="7"/>
  <c r="I899" i="7"/>
  <c r="H899" i="7"/>
  <c r="G899" i="7"/>
  <c r="F899" i="7"/>
  <c r="E899" i="7"/>
  <c r="E455" i="7"/>
  <c r="F455" i="7"/>
  <c r="G455" i="7"/>
  <c r="H455" i="7"/>
  <c r="I455" i="7"/>
  <c r="J455" i="7"/>
  <c r="K455" i="7"/>
  <c r="L455" i="7"/>
  <c r="M455" i="7"/>
  <c r="N455" i="7"/>
  <c r="O455" i="7"/>
  <c r="P455" i="7"/>
  <c r="Q455" i="7"/>
  <c r="R455" i="7"/>
  <c r="S455" i="7"/>
  <c r="T455" i="7"/>
  <c r="U455" i="7"/>
  <c r="V455" i="7"/>
  <c r="W455" i="7"/>
  <c r="X455" i="7"/>
  <c r="Y455" i="7"/>
  <c r="Z455" i="7"/>
  <c r="AA455" i="7"/>
  <c r="AB455" i="7"/>
  <c r="AC455" i="7"/>
  <c r="AD455" i="7"/>
  <c r="AE455" i="7"/>
  <c r="N446" i="7"/>
  <c r="N444" i="7"/>
  <c r="N422" i="7"/>
  <c r="G432" i="7"/>
  <c r="AC899" i="7" l="1"/>
  <c r="L802" i="7" l="1"/>
  <c r="T1177" i="7"/>
  <c r="AE905" i="7"/>
  <c r="AD905" i="7"/>
  <c r="AB905" i="7"/>
  <c r="AA905" i="7"/>
  <c r="Z905" i="7"/>
  <c r="Y905" i="7"/>
  <c r="X905" i="7"/>
  <c r="W905" i="7"/>
  <c r="V905" i="7"/>
  <c r="U905" i="7"/>
  <c r="T905" i="7"/>
  <c r="S905" i="7"/>
  <c r="R905" i="7"/>
  <c r="Q905" i="7"/>
  <c r="P905" i="7"/>
  <c r="O905" i="7"/>
  <c r="N905" i="7"/>
  <c r="M905" i="7"/>
  <c r="L905" i="7"/>
  <c r="K905" i="7"/>
  <c r="J905" i="7"/>
  <c r="I905" i="7"/>
  <c r="H905" i="7"/>
  <c r="G905" i="7"/>
  <c r="F905" i="7"/>
  <c r="E905" i="7"/>
  <c r="AC906" i="7"/>
  <c r="D906" i="7" s="1"/>
  <c r="B906" i="7"/>
  <c r="B941" i="7"/>
  <c r="AC941" i="7"/>
  <c r="AE938" i="7"/>
  <c r="AD938" i="7"/>
  <c r="AB938" i="7"/>
  <c r="AA938" i="7"/>
  <c r="Z938" i="7"/>
  <c r="Y938" i="7"/>
  <c r="X938" i="7"/>
  <c r="W938" i="7"/>
  <c r="V938" i="7"/>
  <c r="U938" i="7"/>
  <c r="T938" i="7"/>
  <c r="S938" i="7"/>
  <c r="R938" i="7"/>
  <c r="Q938" i="7"/>
  <c r="P938" i="7"/>
  <c r="O938" i="7"/>
  <c r="N938" i="7"/>
  <c r="M938" i="7"/>
  <c r="L938" i="7"/>
  <c r="K938" i="7"/>
  <c r="J938" i="7"/>
  <c r="I938" i="7"/>
  <c r="H938" i="7"/>
  <c r="G938" i="7"/>
  <c r="F938" i="7"/>
  <c r="E938" i="7"/>
  <c r="AC940" i="7"/>
  <c r="D940" i="7" s="1"/>
  <c r="B940" i="7"/>
  <c r="D941" i="7" l="1"/>
  <c r="AC843" i="7" l="1"/>
  <c r="D843" i="7" s="1"/>
  <c r="AC842" i="7"/>
  <c r="D842" i="7" s="1"/>
  <c r="B842" i="7"/>
  <c r="B340" i="7"/>
  <c r="AC340" i="7"/>
  <c r="D340" i="7" s="1"/>
  <c r="E12" i="8" l="1"/>
  <c r="E14" i="8"/>
  <c r="E23" i="8"/>
  <c r="E25" i="8"/>
  <c r="E27" i="8"/>
  <c r="E29" i="8"/>
  <c r="E32" i="8"/>
  <c r="E39" i="8"/>
  <c r="E35" i="8" s="1"/>
  <c r="E41" i="8"/>
  <c r="E43" i="8"/>
  <c r="E47" i="8"/>
  <c r="E49" i="8"/>
  <c r="E51" i="8"/>
  <c r="E53" i="8"/>
  <c r="E57" i="8"/>
  <c r="E59" i="8"/>
  <c r="E61" i="8"/>
  <c r="E65" i="8"/>
  <c r="E72" i="8"/>
  <c r="E75" i="8"/>
  <c r="E91" i="8"/>
  <c r="E98" i="8"/>
  <c r="E103" i="8"/>
  <c r="E130" i="8"/>
  <c r="E144" i="8"/>
  <c r="E150" i="8"/>
  <c r="F151" i="8"/>
  <c r="F152" i="8"/>
  <c r="E153" i="8"/>
  <c r="E155" i="8"/>
  <c r="E157" i="8"/>
  <c r="E162" i="8"/>
  <c r="F163" i="8"/>
  <c r="F162" i="8" s="1"/>
  <c r="E164" i="8"/>
  <c r="E166" i="8"/>
  <c r="E169" i="8"/>
  <c r="E172" i="8"/>
  <c r="E174" i="8"/>
  <c r="E176" i="8"/>
  <c r="E180" i="8"/>
  <c r="E182" i="8"/>
  <c r="E184" i="8"/>
  <c r="E186" i="8"/>
  <c r="E188" i="8"/>
  <c r="E190" i="8"/>
  <c r="E192" i="8"/>
  <c r="E195" i="8"/>
  <c r="F150" i="8" l="1"/>
  <c r="E11" i="8"/>
  <c r="P127" i="9"/>
  <c r="B127" i="9"/>
  <c r="N1081" i="7" l="1"/>
  <c r="AC1081" i="7" s="1"/>
  <c r="T810" i="7"/>
  <c r="R810" i="7"/>
  <c r="B810" i="7"/>
  <c r="AD155" i="7"/>
  <c r="AC810" i="7" l="1"/>
  <c r="D810" i="7" s="1"/>
  <c r="N271" i="7"/>
  <c r="N267" i="7"/>
  <c r="N266" i="7"/>
  <c r="E921" i="7" l="1"/>
  <c r="F921" i="7"/>
  <c r="G921" i="7"/>
  <c r="H921" i="7"/>
  <c r="I921" i="7"/>
  <c r="J921" i="7"/>
  <c r="K921" i="7"/>
  <c r="L921" i="7"/>
  <c r="M921" i="7"/>
  <c r="N921" i="7"/>
  <c r="O921" i="7"/>
  <c r="P921" i="7"/>
  <c r="Q921" i="7"/>
  <c r="R921" i="7"/>
  <c r="S921" i="7"/>
  <c r="T921" i="7"/>
  <c r="U921" i="7"/>
  <c r="V921" i="7"/>
  <c r="W921" i="7"/>
  <c r="X921" i="7"/>
  <c r="Y921" i="7"/>
  <c r="Z921" i="7"/>
  <c r="AA921" i="7"/>
  <c r="AB921" i="7"/>
  <c r="AD921" i="7"/>
  <c r="AE921" i="7"/>
  <c r="B923" i="7"/>
  <c r="AC922" i="7"/>
  <c r="B922" i="7"/>
  <c r="AC924" i="7"/>
  <c r="D924" i="7" s="1"/>
  <c r="B924" i="7"/>
  <c r="B925" i="7"/>
  <c r="AC1205" i="7"/>
  <c r="N937" i="7"/>
  <c r="AC937" i="7" s="1"/>
  <c r="B881" i="7"/>
  <c r="N877" i="7"/>
  <c r="D922" i="7" l="1"/>
  <c r="AC923" i="7"/>
  <c r="D923" i="7" s="1"/>
  <c r="AC925" i="7"/>
  <c r="AC881" i="7"/>
  <c r="D881" i="7" s="1"/>
  <c r="AC880" i="7"/>
  <c r="D880" i="7" s="1"/>
  <c r="B880" i="7"/>
  <c r="D776" i="7"/>
  <c r="B776" i="7"/>
  <c r="AC921" i="7" l="1"/>
  <c r="D925" i="7"/>
  <c r="D921" i="7" s="1"/>
  <c r="AC736" i="7" l="1"/>
  <c r="D736" i="7" s="1"/>
  <c r="B736" i="7"/>
  <c r="AC737" i="7"/>
  <c r="D737" i="7" s="1"/>
  <c r="B737" i="7"/>
  <c r="B734" i="7" l="1"/>
  <c r="B735" i="7"/>
  <c r="R371" i="7" l="1"/>
  <c r="AC1139" i="7"/>
  <c r="AC860" i="7"/>
  <c r="U417" i="7"/>
  <c r="G493" i="7"/>
  <c r="E934" i="7"/>
  <c r="F934" i="7"/>
  <c r="G934" i="7"/>
  <c r="H934" i="7"/>
  <c r="I934" i="7"/>
  <c r="J934" i="7"/>
  <c r="K934" i="7"/>
  <c r="L934" i="7"/>
  <c r="M934" i="7"/>
  <c r="N934" i="7"/>
  <c r="O934" i="7"/>
  <c r="P934" i="7"/>
  <c r="Q934" i="7"/>
  <c r="R934" i="7"/>
  <c r="S934" i="7"/>
  <c r="T934" i="7"/>
  <c r="U934" i="7"/>
  <c r="V934" i="7"/>
  <c r="W934" i="7"/>
  <c r="X934" i="7"/>
  <c r="Y934" i="7"/>
  <c r="Z934" i="7"/>
  <c r="AA934" i="7"/>
  <c r="AB934" i="7"/>
  <c r="AD934" i="7"/>
  <c r="AE934" i="7"/>
  <c r="B1205" i="7"/>
  <c r="B1206" i="7"/>
  <c r="D1205" i="7"/>
  <c r="B937" i="7" l="1"/>
  <c r="D937" i="7"/>
  <c r="AE128" i="8"/>
  <c r="F128" i="8" s="1"/>
  <c r="B128" i="8"/>
  <c r="R502" i="7"/>
  <c r="R500" i="7"/>
  <c r="N525" i="7"/>
  <c r="U541" i="7" l="1"/>
  <c r="H545" i="7"/>
  <c r="H539" i="7"/>
  <c r="AE46" i="8"/>
  <c r="F46" i="8" s="1"/>
  <c r="AC813" i="7" l="1"/>
  <c r="D813" i="7" s="1"/>
  <c r="B813" i="7"/>
  <c r="E792" i="7"/>
  <c r="F792" i="7"/>
  <c r="G792" i="7"/>
  <c r="H792" i="7"/>
  <c r="I792" i="7"/>
  <c r="J792" i="7"/>
  <c r="K792" i="7"/>
  <c r="L792" i="7"/>
  <c r="M792" i="7"/>
  <c r="O792" i="7"/>
  <c r="P792" i="7"/>
  <c r="Q792" i="7"/>
  <c r="S792" i="7"/>
  <c r="U792" i="7"/>
  <c r="V792" i="7"/>
  <c r="W792" i="7"/>
  <c r="X792" i="7"/>
  <c r="Y792" i="7"/>
  <c r="Z792" i="7"/>
  <c r="AA792" i="7"/>
  <c r="AB792" i="7"/>
  <c r="AD792" i="7"/>
  <c r="AE792" i="7"/>
  <c r="N486" i="7" l="1"/>
  <c r="N462" i="7"/>
  <c r="N1169" i="7"/>
  <c r="N410" i="7"/>
  <c r="R402" i="7"/>
  <c r="N392" i="7"/>
  <c r="N390" i="7"/>
  <c r="U389" i="7"/>
  <c r="R388" i="7"/>
  <c r="N395" i="7"/>
  <c r="U400" i="7"/>
  <c r="AE60" i="8"/>
  <c r="F60" i="8" s="1"/>
  <c r="F59" i="8" s="1"/>
  <c r="N352" i="7"/>
  <c r="R232" i="7" l="1"/>
  <c r="L236" i="7"/>
  <c r="G359" i="7" l="1"/>
  <c r="AD279" i="7"/>
  <c r="T792" i="7"/>
  <c r="R792" i="7"/>
  <c r="AC240" i="7"/>
  <c r="N1071" i="7" l="1"/>
  <c r="AC1071" i="7" s="1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774" i="7"/>
  <c r="B775" i="7"/>
  <c r="B777" i="7"/>
  <c r="AC775" i="7"/>
  <c r="N775" i="7"/>
  <c r="AC229" i="7"/>
  <c r="D775" i="7" l="1"/>
  <c r="D228" i="7" l="1"/>
  <c r="N257" i="7" l="1"/>
  <c r="AC725" i="7" l="1"/>
  <c r="AC726" i="7"/>
  <c r="AC724" i="7"/>
  <c r="N542" i="7" l="1"/>
  <c r="E29" i="10" l="1"/>
  <c r="D29" i="10"/>
  <c r="C29" i="10"/>
  <c r="E9" i="10"/>
  <c r="D9" i="10"/>
  <c r="C9" i="10"/>
  <c r="P195" i="9"/>
  <c r="B195" i="9"/>
  <c r="Q194" i="9"/>
  <c r="L194" i="9"/>
  <c r="K194" i="9"/>
  <c r="J194" i="9"/>
  <c r="I194" i="9"/>
  <c r="P194" i="9" s="1"/>
  <c r="P193" i="9"/>
  <c r="B193" i="9"/>
  <c r="P192" i="9"/>
  <c r="B192" i="9"/>
  <c r="Q191" i="9"/>
  <c r="L191" i="9"/>
  <c r="K191" i="9"/>
  <c r="J191" i="9"/>
  <c r="I191" i="9"/>
  <c r="P191" i="9" s="1"/>
  <c r="P190" i="9"/>
  <c r="B190" i="9"/>
  <c r="Q189" i="9"/>
  <c r="L189" i="9"/>
  <c r="K189" i="9"/>
  <c r="J189" i="9"/>
  <c r="I189" i="9"/>
  <c r="P189" i="9" s="1"/>
  <c r="P188" i="9"/>
  <c r="B188" i="9"/>
  <c r="Q187" i="9"/>
  <c r="L187" i="9"/>
  <c r="K187" i="9"/>
  <c r="J187" i="9"/>
  <c r="I187" i="9"/>
  <c r="P187" i="9" s="1"/>
  <c r="P186" i="9"/>
  <c r="B186" i="9"/>
  <c r="Q185" i="9"/>
  <c r="L185" i="9"/>
  <c r="K185" i="9"/>
  <c r="J185" i="9"/>
  <c r="I185" i="9"/>
  <c r="P185" i="9" s="1"/>
  <c r="P184" i="9"/>
  <c r="B184" i="9"/>
  <c r="Q183" i="9"/>
  <c r="L183" i="9"/>
  <c r="K183" i="9"/>
  <c r="J183" i="9"/>
  <c r="I183" i="9"/>
  <c r="P183" i="9" s="1"/>
  <c r="P182" i="9"/>
  <c r="B182" i="9"/>
  <c r="Q181" i="9"/>
  <c r="L181" i="9"/>
  <c r="K181" i="9"/>
  <c r="J181" i="9"/>
  <c r="I181" i="9"/>
  <c r="P181" i="9" s="1"/>
  <c r="P180" i="9"/>
  <c r="B180" i="9"/>
  <c r="Q179" i="9"/>
  <c r="L179" i="9"/>
  <c r="K179" i="9"/>
  <c r="J179" i="9"/>
  <c r="I179" i="9"/>
  <c r="P179" i="9" s="1"/>
  <c r="P178" i="9"/>
  <c r="B178" i="9"/>
  <c r="P177" i="9"/>
  <c r="B177" i="9"/>
  <c r="P176" i="9"/>
  <c r="B176" i="9"/>
  <c r="Q175" i="9"/>
  <c r="L175" i="9"/>
  <c r="K175" i="9"/>
  <c r="J175" i="9"/>
  <c r="I175" i="9"/>
  <c r="P175" i="9" s="1"/>
  <c r="P174" i="9"/>
  <c r="B174" i="9"/>
  <c r="Q173" i="9"/>
  <c r="L173" i="9"/>
  <c r="K173" i="9"/>
  <c r="J173" i="9"/>
  <c r="I173" i="9"/>
  <c r="P173" i="9" s="1"/>
  <c r="P172" i="9"/>
  <c r="B172" i="9"/>
  <c r="Q171" i="9"/>
  <c r="L171" i="9"/>
  <c r="K171" i="9"/>
  <c r="J171" i="9"/>
  <c r="I171" i="9"/>
  <c r="P171" i="9" s="1"/>
  <c r="P170" i="9"/>
  <c r="B170" i="9"/>
  <c r="P169" i="9"/>
  <c r="B169" i="9"/>
  <c r="Q168" i="9"/>
  <c r="L168" i="9"/>
  <c r="K168" i="9"/>
  <c r="J168" i="9"/>
  <c r="I168" i="9"/>
  <c r="P168" i="9" s="1"/>
  <c r="P167" i="9"/>
  <c r="B167" i="9"/>
  <c r="P166" i="9"/>
  <c r="B166" i="9"/>
  <c r="Q165" i="9"/>
  <c r="L165" i="9"/>
  <c r="K165" i="9"/>
  <c r="J165" i="9"/>
  <c r="I165" i="9"/>
  <c r="P165" i="9" s="1"/>
  <c r="P164" i="9"/>
  <c r="B164" i="9"/>
  <c r="Q163" i="9"/>
  <c r="L163" i="9"/>
  <c r="K163" i="9"/>
  <c r="J163" i="9"/>
  <c r="I163" i="9"/>
  <c r="P163" i="9" s="1"/>
  <c r="P162" i="9"/>
  <c r="B162" i="9"/>
  <c r="Q161" i="9"/>
  <c r="L161" i="9"/>
  <c r="K161" i="9"/>
  <c r="J161" i="9"/>
  <c r="I161" i="9"/>
  <c r="P161" i="9" s="1"/>
  <c r="P160" i="9"/>
  <c r="B160" i="9"/>
  <c r="P159" i="9"/>
  <c r="B159" i="9"/>
  <c r="P158" i="9"/>
  <c r="B158" i="9"/>
  <c r="P157" i="9"/>
  <c r="K157" i="9"/>
  <c r="K156" i="9" s="1"/>
  <c r="B157" i="9"/>
  <c r="Q156" i="9"/>
  <c r="L156" i="9"/>
  <c r="J156" i="9"/>
  <c r="I156" i="9"/>
  <c r="P156" i="9" s="1"/>
  <c r="P155" i="9"/>
  <c r="B155" i="9"/>
  <c r="Q154" i="9"/>
  <c r="L154" i="9"/>
  <c r="K154" i="9"/>
  <c r="J154" i="9"/>
  <c r="I154" i="9"/>
  <c r="P154" i="9" s="1"/>
  <c r="P153" i="9"/>
  <c r="B153" i="9"/>
  <c r="Q152" i="9"/>
  <c r="L152" i="9"/>
  <c r="K152" i="9"/>
  <c r="J152" i="9"/>
  <c r="I152" i="9"/>
  <c r="P152" i="9" s="1"/>
  <c r="P151" i="9"/>
  <c r="B151" i="9"/>
  <c r="P150" i="9"/>
  <c r="B150" i="9"/>
  <c r="Q149" i="9"/>
  <c r="L149" i="9"/>
  <c r="K149" i="9"/>
  <c r="J149" i="9"/>
  <c r="I149" i="9"/>
  <c r="P149" i="9" s="1"/>
  <c r="P148" i="9"/>
  <c r="B148" i="9"/>
  <c r="P147" i="9"/>
  <c r="B147" i="9"/>
  <c r="P146" i="9"/>
  <c r="B146" i="9"/>
  <c r="P145" i="9"/>
  <c r="B145" i="9"/>
  <c r="P144" i="9"/>
  <c r="B144" i="9"/>
  <c r="Q143" i="9"/>
  <c r="L143" i="9"/>
  <c r="K143" i="9"/>
  <c r="J143" i="9"/>
  <c r="I143" i="9"/>
  <c r="P143" i="9" s="1"/>
  <c r="P142" i="9"/>
  <c r="B142" i="9"/>
  <c r="P141" i="9"/>
  <c r="B141" i="9"/>
  <c r="P140" i="9"/>
  <c r="B140" i="9"/>
  <c r="P139" i="9"/>
  <c r="B139" i="9"/>
  <c r="P138" i="9"/>
  <c r="B138" i="9"/>
  <c r="P137" i="9"/>
  <c r="B137" i="9"/>
  <c r="P136" i="9"/>
  <c r="B136" i="9"/>
  <c r="P135" i="9"/>
  <c r="B135" i="9"/>
  <c r="P134" i="9"/>
  <c r="B134" i="9"/>
  <c r="P133" i="9"/>
  <c r="B133" i="9"/>
  <c r="P132" i="9"/>
  <c r="B132" i="9"/>
  <c r="P131" i="9"/>
  <c r="B131" i="9"/>
  <c r="P130" i="9"/>
  <c r="B130" i="9"/>
  <c r="Q129" i="9"/>
  <c r="L129" i="9"/>
  <c r="K129" i="9"/>
  <c r="J129" i="9"/>
  <c r="I129" i="9"/>
  <c r="P129" i="9" s="1"/>
  <c r="P128" i="9"/>
  <c r="B128" i="9"/>
  <c r="P126" i="9"/>
  <c r="B126" i="9"/>
  <c r="P125" i="9"/>
  <c r="B125" i="9"/>
  <c r="P124" i="9"/>
  <c r="B124" i="9"/>
  <c r="P123" i="9"/>
  <c r="B123" i="9"/>
  <c r="P122" i="9"/>
  <c r="B122" i="9"/>
  <c r="P121" i="9"/>
  <c r="B121" i="9"/>
  <c r="P120" i="9"/>
  <c r="B120" i="9"/>
  <c r="P119" i="9"/>
  <c r="B119" i="9"/>
  <c r="P118" i="9"/>
  <c r="B118" i="9"/>
  <c r="P117" i="9"/>
  <c r="B117" i="9"/>
  <c r="P116" i="9"/>
  <c r="B116" i="9"/>
  <c r="P115" i="9"/>
  <c r="B115" i="9"/>
  <c r="P114" i="9"/>
  <c r="B114" i="9"/>
  <c r="P113" i="9"/>
  <c r="K113" i="9"/>
  <c r="K102" i="9" s="1"/>
  <c r="B113" i="9"/>
  <c r="P112" i="9"/>
  <c r="B112" i="9"/>
  <c r="P111" i="9"/>
  <c r="B111" i="9"/>
  <c r="P110" i="9"/>
  <c r="B110" i="9"/>
  <c r="P109" i="9"/>
  <c r="B109" i="9"/>
  <c r="P108" i="9"/>
  <c r="B108" i="9"/>
  <c r="P107" i="9"/>
  <c r="B107" i="9"/>
  <c r="P106" i="9"/>
  <c r="B106" i="9"/>
  <c r="P105" i="9"/>
  <c r="B105" i="9"/>
  <c r="P104" i="9"/>
  <c r="B104" i="9"/>
  <c r="P103" i="9"/>
  <c r="B103" i="9"/>
  <c r="L102" i="9"/>
  <c r="J102" i="9"/>
  <c r="I102" i="9"/>
  <c r="P102" i="9" s="1"/>
  <c r="P101" i="9"/>
  <c r="B101" i="9"/>
  <c r="P100" i="9"/>
  <c r="B100" i="9"/>
  <c r="P99" i="9"/>
  <c r="B99" i="9"/>
  <c r="P98" i="9"/>
  <c r="B98" i="9"/>
  <c r="Q97" i="9"/>
  <c r="L97" i="9"/>
  <c r="K97" i="9"/>
  <c r="J97" i="9"/>
  <c r="I97" i="9"/>
  <c r="P97" i="9" s="1"/>
  <c r="P96" i="9"/>
  <c r="B96" i="9"/>
  <c r="P95" i="9"/>
  <c r="B95" i="9"/>
  <c r="P94" i="9"/>
  <c r="B94" i="9"/>
  <c r="P93" i="9"/>
  <c r="B93" i="9"/>
  <c r="P92" i="9"/>
  <c r="B92" i="9"/>
  <c r="P91" i="9"/>
  <c r="B91" i="9"/>
  <c r="Q90" i="9"/>
  <c r="L90" i="9"/>
  <c r="K90" i="9"/>
  <c r="J90" i="9"/>
  <c r="I90" i="9"/>
  <c r="P90" i="9" s="1"/>
  <c r="P89" i="9"/>
  <c r="B89" i="9"/>
  <c r="P88" i="9"/>
  <c r="B88" i="9"/>
  <c r="P87" i="9"/>
  <c r="B87" i="9"/>
  <c r="P86" i="9"/>
  <c r="B86" i="9"/>
  <c r="P85" i="9"/>
  <c r="B85" i="9"/>
  <c r="P84" i="9"/>
  <c r="B84" i="9"/>
  <c r="P83" i="9"/>
  <c r="B83" i="9"/>
  <c r="P82" i="9"/>
  <c r="B82" i="9"/>
  <c r="P81" i="9"/>
  <c r="B81" i="9"/>
  <c r="P80" i="9"/>
  <c r="B80" i="9"/>
  <c r="P79" i="9"/>
  <c r="B79" i="9"/>
  <c r="P78" i="9"/>
  <c r="B78" i="9"/>
  <c r="P77" i="9"/>
  <c r="B77" i="9"/>
  <c r="P76" i="9"/>
  <c r="B76" i="9"/>
  <c r="P75" i="9"/>
  <c r="B75" i="9"/>
  <c r="Q74" i="9"/>
  <c r="L74" i="9"/>
  <c r="K74" i="9"/>
  <c r="J74" i="9"/>
  <c r="I74" i="9"/>
  <c r="P74" i="9" s="1"/>
  <c r="P73" i="9"/>
  <c r="B73" i="9"/>
  <c r="P72" i="9"/>
  <c r="B72" i="9"/>
  <c r="Q71" i="9"/>
  <c r="L71" i="9"/>
  <c r="K71" i="9"/>
  <c r="J71" i="9"/>
  <c r="I71" i="9"/>
  <c r="P71" i="9" s="1"/>
  <c r="P70" i="9"/>
  <c r="B70" i="9"/>
  <c r="P69" i="9"/>
  <c r="B69" i="9"/>
  <c r="P68" i="9"/>
  <c r="B68" i="9"/>
  <c r="P67" i="9"/>
  <c r="B67" i="9"/>
  <c r="P66" i="9"/>
  <c r="B66" i="9"/>
  <c r="P65" i="9"/>
  <c r="B65" i="9"/>
  <c r="Q64" i="9"/>
  <c r="L64" i="9"/>
  <c r="K64" i="9"/>
  <c r="J64" i="9"/>
  <c r="I64" i="9"/>
  <c r="P61" i="9"/>
  <c r="B61" i="9"/>
  <c r="Q60" i="9"/>
  <c r="L60" i="9"/>
  <c r="K60" i="9"/>
  <c r="J60" i="9"/>
  <c r="I60" i="9"/>
  <c r="P60" i="9" s="1"/>
  <c r="P59" i="9"/>
  <c r="B59" i="9"/>
  <c r="Q58" i="9"/>
  <c r="L58" i="9"/>
  <c r="K58" i="9"/>
  <c r="J58" i="9"/>
  <c r="I58" i="9"/>
  <c r="P58" i="9" s="1"/>
  <c r="P57" i="9"/>
  <c r="K57" i="9"/>
  <c r="K56" i="9" s="1"/>
  <c r="B57" i="9"/>
  <c r="Q56" i="9"/>
  <c r="L56" i="9"/>
  <c r="J56" i="9"/>
  <c r="I56" i="9"/>
  <c r="P56" i="9" s="1"/>
  <c r="P55" i="9"/>
  <c r="B55" i="9"/>
  <c r="P54" i="9"/>
  <c r="K54" i="9"/>
  <c r="K52" i="9" s="1"/>
  <c r="B54" i="9"/>
  <c r="P53" i="9"/>
  <c r="B53" i="9"/>
  <c r="Q52" i="9"/>
  <c r="L52" i="9"/>
  <c r="J52" i="9"/>
  <c r="I52" i="9"/>
  <c r="P52" i="9" s="1"/>
  <c r="P51" i="9"/>
  <c r="K51" i="9"/>
  <c r="K50" i="9" s="1"/>
  <c r="B51" i="9"/>
  <c r="Q50" i="9"/>
  <c r="L50" i="9"/>
  <c r="J50" i="9"/>
  <c r="I50" i="9"/>
  <c r="P50" i="9" s="1"/>
  <c r="P49" i="9"/>
  <c r="K49" i="9"/>
  <c r="K48" i="9" s="1"/>
  <c r="B49" i="9"/>
  <c r="Q48" i="9"/>
  <c r="L48" i="9"/>
  <c r="J48" i="9"/>
  <c r="I48" i="9"/>
  <c r="P48" i="9" s="1"/>
  <c r="P47" i="9"/>
  <c r="K47" i="9"/>
  <c r="K46" i="9" s="1"/>
  <c r="B47" i="9"/>
  <c r="Q46" i="9"/>
  <c r="L46" i="9"/>
  <c r="J46" i="9"/>
  <c r="I46" i="9"/>
  <c r="P46" i="9" s="1"/>
  <c r="P45" i="9"/>
  <c r="K45" i="9"/>
  <c r="B45" i="9"/>
  <c r="P44" i="9"/>
  <c r="K44" i="9"/>
  <c r="B44" i="9"/>
  <c r="P43" i="9"/>
  <c r="K43" i="9"/>
  <c r="B43" i="9"/>
  <c r="Q42" i="9"/>
  <c r="L42" i="9"/>
  <c r="J42" i="9"/>
  <c r="I42" i="9"/>
  <c r="P42" i="9" s="1"/>
  <c r="P41" i="9"/>
  <c r="K41" i="9"/>
  <c r="K40" i="9" s="1"/>
  <c r="B41" i="9"/>
  <c r="Q40" i="9"/>
  <c r="L40" i="9"/>
  <c r="J40" i="9"/>
  <c r="I40" i="9"/>
  <c r="P40" i="9" s="1"/>
  <c r="P39" i="9"/>
  <c r="K39" i="9"/>
  <c r="K38" i="9" s="1"/>
  <c r="B39" i="9"/>
  <c r="Q38" i="9"/>
  <c r="L38" i="9"/>
  <c r="J38" i="9"/>
  <c r="I38" i="9"/>
  <c r="P38" i="9" s="1"/>
  <c r="P37" i="9"/>
  <c r="K37" i="9"/>
  <c r="B37" i="9"/>
  <c r="P36" i="9"/>
  <c r="K36" i="9"/>
  <c r="B36" i="9"/>
  <c r="P35" i="9"/>
  <c r="K35" i="9"/>
  <c r="B35" i="9"/>
  <c r="Q34" i="9"/>
  <c r="L34" i="9"/>
  <c r="J34" i="9"/>
  <c r="I34" i="9"/>
  <c r="P34" i="9" s="1"/>
  <c r="P33" i="9"/>
  <c r="B33" i="9"/>
  <c r="P32" i="9"/>
  <c r="K32" i="9"/>
  <c r="B32" i="9"/>
  <c r="Q31" i="9"/>
  <c r="L31" i="9"/>
  <c r="K31" i="9"/>
  <c r="J31" i="9"/>
  <c r="I31" i="9"/>
  <c r="P31" i="9" s="1"/>
  <c r="P30" i="9"/>
  <c r="K30" i="9"/>
  <c r="B30" i="9"/>
  <c r="P29" i="9"/>
  <c r="K29" i="9"/>
  <c r="B29" i="9"/>
  <c r="Q28" i="9"/>
  <c r="L28" i="9"/>
  <c r="J28" i="9"/>
  <c r="I28" i="9"/>
  <c r="P28" i="9" s="1"/>
  <c r="P27" i="9"/>
  <c r="K27" i="9"/>
  <c r="K26" i="9" s="1"/>
  <c r="B27" i="9"/>
  <c r="Q26" i="9"/>
  <c r="L26" i="9"/>
  <c r="J26" i="9"/>
  <c r="I26" i="9"/>
  <c r="P26" i="9" s="1"/>
  <c r="P25" i="9"/>
  <c r="K25" i="9"/>
  <c r="K24" i="9" s="1"/>
  <c r="B25" i="9"/>
  <c r="Q24" i="9"/>
  <c r="L24" i="9"/>
  <c r="J24" i="9"/>
  <c r="I24" i="9"/>
  <c r="P24" i="9" s="1"/>
  <c r="P23" i="9"/>
  <c r="K23" i="9"/>
  <c r="K22" i="9" s="1"/>
  <c r="B23" i="9"/>
  <c r="Q22" i="9"/>
  <c r="L22" i="9"/>
  <c r="J22" i="9"/>
  <c r="I22" i="9"/>
  <c r="P22" i="9" s="1"/>
  <c r="P21" i="9"/>
  <c r="B21" i="9"/>
  <c r="P20" i="9"/>
  <c r="B20" i="9"/>
  <c r="P19" i="9"/>
  <c r="B19" i="9"/>
  <c r="P18" i="9"/>
  <c r="K18" i="9"/>
  <c r="B18" i="9"/>
  <c r="P17" i="9"/>
  <c r="K17" i="9"/>
  <c r="B17" i="9"/>
  <c r="P16" i="9"/>
  <c r="K16" i="9"/>
  <c r="B16" i="9"/>
  <c r="P15" i="9"/>
  <c r="K15" i="9"/>
  <c r="B15" i="9"/>
  <c r="P14" i="9"/>
  <c r="K14" i="9"/>
  <c r="B14" i="9"/>
  <c r="Q13" i="9"/>
  <c r="L13" i="9"/>
  <c r="J13" i="9"/>
  <c r="I13" i="9"/>
  <c r="P13" i="9" s="1"/>
  <c r="P12" i="9"/>
  <c r="K12" i="9"/>
  <c r="K11" i="9" s="1"/>
  <c r="B12" i="9"/>
  <c r="Q11" i="9"/>
  <c r="L11" i="9"/>
  <c r="J11" i="9"/>
  <c r="I11" i="9"/>
  <c r="AE196" i="8"/>
  <c r="F196" i="8" s="1"/>
  <c r="F195" i="8" s="1"/>
  <c r="B196" i="8"/>
  <c r="AG195" i="8"/>
  <c r="AF195" i="8"/>
  <c r="AD195" i="8"/>
  <c r="AC195" i="8"/>
  <c r="AB195" i="8"/>
  <c r="AA195" i="8"/>
  <c r="Z195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AE194" i="8"/>
  <c r="F194" i="8" s="1"/>
  <c r="B194" i="8"/>
  <c r="AE193" i="8"/>
  <c r="F193" i="8" s="1"/>
  <c r="B193" i="8"/>
  <c r="AG192" i="8"/>
  <c r="AF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AE191" i="8"/>
  <c r="F191" i="8" s="1"/>
  <c r="F190" i="8" s="1"/>
  <c r="B191" i="8"/>
  <c r="AG190" i="8"/>
  <c r="AF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AE189" i="8"/>
  <c r="F189" i="8" s="1"/>
  <c r="F188" i="8" s="1"/>
  <c r="B189" i="8"/>
  <c r="AG188" i="8"/>
  <c r="AF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AE187" i="8"/>
  <c r="F187" i="8" s="1"/>
  <c r="F186" i="8" s="1"/>
  <c r="B187" i="8"/>
  <c r="AG186" i="8"/>
  <c r="AF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AE185" i="8"/>
  <c r="F185" i="8" s="1"/>
  <c r="F184" i="8" s="1"/>
  <c r="B185" i="8"/>
  <c r="AG184" i="8"/>
  <c r="AF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AE183" i="8"/>
  <c r="F183" i="8" s="1"/>
  <c r="F182" i="8" s="1"/>
  <c r="B183" i="8"/>
  <c r="AG182" i="8"/>
  <c r="AF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AE181" i="8"/>
  <c r="F181" i="8" s="1"/>
  <c r="F180" i="8" s="1"/>
  <c r="B181" i="8"/>
  <c r="AG180" i="8"/>
  <c r="AF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AE179" i="8"/>
  <c r="F179" i="8" s="1"/>
  <c r="B179" i="8"/>
  <c r="AE178" i="8"/>
  <c r="F178" i="8" s="1"/>
  <c r="B178" i="8"/>
  <c r="AE177" i="8"/>
  <c r="F177" i="8" s="1"/>
  <c r="B177" i="8"/>
  <c r="AG176" i="8"/>
  <c r="AF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AE175" i="8"/>
  <c r="F175" i="8" s="1"/>
  <c r="F174" i="8" s="1"/>
  <c r="B175" i="8"/>
  <c r="AG174" i="8"/>
  <c r="AF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AE173" i="8"/>
  <c r="F173" i="8" s="1"/>
  <c r="F172" i="8" s="1"/>
  <c r="B173" i="8"/>
  <c r="AG172" i="8"/>
  <c r="AF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AE171" i="8"/>
  <c r="F171" i="8" s="1"/>
  <c r="B171" i="8"/>
  <c r="AE170" i="8"/>
  <c r="F170" i="8" s="1"/>
  <c r="B170" i="8"/>
  <c r="AG169" i="8"/>
  <c r="AF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AE168" i="8"/>
  <c r="F168" i="8" s="1"/>
  <c r="B168" i="8"/>
  <c r="AE167" i="8"/>
  <c r="F167" i="8" s="1"/>
  <c r="B167" i="8"/>
  <c r="AG166" i="8"/>
  <c r="AF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AE165" i="8"/>
  <c r="F165" i="8" s="1"/>
  <c r="F164" i="8" s="1"/>
  <c r="B165" i="8"/>
  <c r="AG164" i="8"/>
  <c r="AF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B163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AE161" i="8"/>
  <c r="F161" i="8" s="1"/>
  <c r="B161" i="8"/>
  <c r="AE160" i="8"/>
  <c r="F160" i="8" s="1"/>
  <c r="B160" i="8"/>
  <c r="AE159" i="8"/>
  <c r="F159" i="8" s="1"/>
  <c r="B159" i="8"/>
  <c r="AE158" i="8"/>
  <c r="F158" i="8" s="1"/>
  <c r="B158" i="8"/>
  <c r="AG157" i="8"/>
  <c r="AF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AE156" i="8"/>
  <c r="F156" i="8" s="1"/>
  <c r="F155" i="8" s="1"/>
  <c r="B156" i="8"/>
  <c r="AG155" i="8"/>
  <c r="AF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AE154" i="8"/>
  <c r="F154" i="8" s="1"/>
  <c r="F153" i="8" s="1"/>
  <c r="B154" i="8"/>
  <c r="AG153" i="8"/>
  <c r="AF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B152" i="8"/>
  <c r="B151" i="8"/>
  <c r="AG150" i="8"/>
  <c r="AF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AE149" i="8"/>
  <c r="F149" i="8" s="1"/>
  <c r="B149" i="8"/>
  <c r="AE148" i="8"/>
  <c r="F148" i="8" s="1"/>
  <c r="B148" i="8"/>
  <c r="AE147" i="8"/>
  <c r="F147" i="8" s="1"/>
  <c r="B147" i="8"/>
  <c r="AE146" i="8"/>
  <c r="F146" i="8" s="1"/>
  <c r="B146" i="8"/>
  <c r="AE145" i="8"/>
  <c r="F145" i="8" s="1"/>
  <c r="B145" i="8"/>
  <c r="AG144" i="8"/>
  <c r="AF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AE143" i="8"/>
  <c r="F143" i="8" s="1"/>
  <c r="B143" i="8"/>
  <c r="AE142" i="8"/>
  <c r="F142" i="8" s="1"/>
  <c r="B142" i="8"/>
  <c r="AE141" i="8"/>
  <c r="F141" i="8" s="1"/>
  <c r="B141" i="8"/>
  <c r="AE140" i="8"/>
  <c r="F140" i="8" s="1"/>
  <c r="B140" i="8"/>
  <c r="AE139" i="8"/>
  <c r="F139" i="8" s="1"/>
  <c r="B139" i="8"/>
  <c r="AE138" i="8"/>
  <c r="F138" i="8" s="1"/>
  <c r="B138" i="8"/>
  <c r="AE137" i="8"/>
  <c r="F137" i="8" s="1"/>
  <c r="B137" i="8"/>
  <c r="AE136" i="8"/>
  <c r="F136" i="8" s="1"/>
  <c r="B136" i="8"/>
  <c r="AE135" i="8"/>
  <c r="F135" i="8" s="1"/>
  <c r="B135" i="8"/>
  <c r="AE134" i="8"/>
  <c r="F134" i="8" s="1"/>
  <c r="B134" i="8"/>
  <c r="AE133" i="8"/>
  <c r="F133" i="8" s="1"/>
  <c r="B133" i="8"/>
  <c r="AE132" i="8"/>
  <c r="F132" i="8" s="1"/>
  <c r="B132" i="8"/>
  <c r="AE131" i="8"/>
  <c r="F131" i="8" s="1"/>
  <c r="B131" i="8"/>
  <c r="AG130" i="8"/>
  <c r="AF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AE129" i="8"/>
  <c r="F129" i="8" s="1"/>
  <c r="B129" i="8"/>
  <c r="AE127" i="8"/>
  <c r="F127" i="8" s="1"/>
  <c r="B127" i="8"/>
  <c r="AE126" i="8"/>
  <c r="F126" i="8" s="1"/>
  <c r="B126" i="8"/>
  <c r="AE125" i="8"/>
  <c r="F125" i="8" s="1"/>
  <c r="B125" i="8"/>
  <c r="AE124" i="8"/>
  <c r="F124" i="8" s="1"/>
  <c r="B124" i="8"/>
  <c r="AE123" i="8"/>
  <c r="F123" i="8" s="1"/>
  <c r="B123" i="8"/>
  <c r="AE122" i="8"/>
  <c r="F122" i="8" s="1"/>
  <c r="B122" i="8"/>
  <c r="AE121" i="8"/>
  <c r="F121" i="8" s="1"/>
  <c r="B121" i="8"/>
  <c r="AE120" i="8"/>
  <c r="F120" i="8" s="1"/>
  <c r="B120" i="8"/>
  <c r="AE119" i="8"/>
  <c r="F119" i="8" s="1"/>
  <c r="B119" i="8"/>
  <c r="AE118" i="8"/>
  <c r="F118" i="8" s="1"/>
  <c r="B118" i="8"/>
  <c r="AE117" i="8"/>
  <c r="F117" i="8" s="1"/>
  <c r="B117" i="8"/>
  <c r="AE116" i="8"/>
  <c r="F116" i="8" s="1"/>
  <c r="B116" i="8"/>
  <c r="AE115" i="8"/>
  <c r="F115" i="8" s="1"/>
  <c r="B115" i="8"/>
  <c r="AE114" i="8"/>
  <c r="F114" i="8" s="1"/>
  <c r="B114" i="8"/>
  <c r="AE113" i="8"/>
  <c r="F113" i="8" s="1"/>
  <c r="B113" i="8"/>
  <c r="AE112" i="8"/>
  <c r="F112" i="8" s="1"/>
  <c r="B112" i="8"/>
  <c r="AE111" i="8"/>
  <c r="F111" i="8" s="1"/>
  <c r="B111" i="8"/>
  <c r="AE110" i="8"/>
  <c r="F110" i="8" s="1"/>
  <c r="B110" i="8"/>
  <c r="AE109" i="8"/>
  <c r="F109" i="8" s="1"/>
  <c r="B109" i="8"/>
  <c r="AE108" i="8"/>
  <c r="F108" i="8" s="1"/>
  <c r="B108" i="8"/>
  <c r="AE107" i="8"/>
  <c r="F107" i="8" s="1"/>
  <c r="B107" i="8"/>
  <c r="AE106" i="8"/>
  <c r="F106" i="8" s="1"/>
  <c r="B106" i="8"/>
  <c r="AE105" i="8"/>
  <c r="F105" i="8" s="1"/>
  <c r="B105" i="8"/>
  <c r="AE104" i="8"/>
  <c r="F104" i="8" s="1"/>
  <c r="B104" i="8"/>
  <c r="AG103" i="8"/>
  <c r="AF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AE102" i="8"/>
  <c r="F102" i="8" s="1"/>
  <c r="B102" i="8"/>
  <c r="AE101" i="8"/>
  <c r="F101" i="8" s="1"/>
  <c r="B101" i="8"/>
  <c r="AE100" i="8"/>
  <c r="F100" i="8" s="1"/>
  <c r="B100" i="8"/>
  <c r="AE99" i="8"/>
  <c r="F99" i="8" s="1"/>
  <c r="B99" i="8"/>
  <c r="AG98" i="8"/>
  <c r="AF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AE97" i="8"/>
  <c r="F97" i="8" s="1"/>
  <c r="B97" i="8"/>
  <c r="AE96" i="8"/>
  <c r="F96" i="8" s="1"/>
  <c r="B96" i="8"/>
  <c r="AE95" i="8"/>
  <c r="F95" i="8" s="1"/>
  <c r="B95" i="8"/>
  <c r="AE94" i="8"/>
  <c r="F94" i="8" s="1"/>
  <c r="B94" i="8"/>
  <c r="AE93" i="8"/>
  <c r="F93" i="8" s="1"/>
  <c r="B93" i="8"/>
  <c r="AE92" i="8"/>
  <c r="F92" i="8" s="1"/>
  <c r="B92" i="8"/>
  <c r="AG91" i="8"/>
  <c r="AF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AE90" i="8"/>
  <c r="F90" i="8" s="1"/>
  <c r="B90" i="8"/>
  <c r="AE89" i="8"/>
  <c r="F89" i="8" s="1"/>
  <c r="B89" i="8"/>
  <c r="AE88" i="8"/>
  <c r="F88" i="8" s="1"/>
  <c r="B88" i="8"/>
  <c r="AE87" i="8"/>
  <c r="F87" i="8" s="1"/>
  <c r="B87" i="8"/>
  <c r="AE86" i="8"/>
  <c r="F86" i="8" s="1"/>
  <c r="B86" i="8"/>
  <c r="AE85" i="8"/>
  <c r="F85" i="8" s="1"/>
  <c r="B85" i="8"/>
  <c r="AE84" i="8"/>
  <c r="F84" i="8" s="1"/>
  <c r="B84" i="8"/>
  <c r="AE83" i="8"/>
  <c r="F83" i="8" s="1"/>
  <c r="B83" i="8"/>
  <c r="AE82" i="8"/>
  <c r="F82" i="8" s="1"/>
  <c r="B82" i="8"/>
  <c r="AE81" i="8"/>
  <c r="F81" i="8" s="1"/>
  <c r="B81" i="8"/>
  <c r="AE80" i="8"/>
  <c r="F80" i="8" s="1"/>
  <c r="B80" i="8"/>
  <c r="AE79" i="8"/>
  <c r="F79" i="8" s="1"/>
  <c r="B79" i="8"/>
  <c r="AE78" i="8"/>
  <c r="F78" i="8" s="1"/>
  <c r="B78" i="8"/>
  <c r="AE77" i="8"/>
  <c r="F77" i="8" s="1"/>
  <c r="B77" i="8"/>
  <c r="AE76" i="8"/>
  <c r="F76" i="8" s="1"/>
  <c r="B76" i="8"/>
  <c r="AG75" i="8"/>
  <c r="AF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AE74" i="8"/>
  <c r="F74" i="8" s="1"/>
  <c r="B74" i="8"/>
  <c r="AE73" i="8"/>
  <c r="F73" i="8" s="1"/>
  <c r="B73" i="8"/>
  <c r="AG72" i="8"/>
  <c r="AF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AE71" i="8"/>
  <c r="F71" i="8" s="1"/>
  <c r="B71" i="8"/>
  <c r="AE70" i="8"/>
  <c r="F70" i="8" s="1"/>
  <c r="B70" i="8"/>
  <c r="AE69" i="8"/>
  <c r="F69" i="8" s="1"/>
  <c r="B69" i="8"/>
  <c r="AE68" i="8"/>
  <c r="F68" i="8" s="1"/>
  <c r="B68" i="8"/>
  <c r="AE67" i="8"/>
  <c r="F67" i="8" s="1"/>
  <c r="B67" i="8"/>
  <c r="AE66" i="8"/>
  <c r="F66" i="8" s="1"/>
  <c r="B66" i="8"/>
  <c r="AG65" i="8"/>
  <c r="AF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AE62" i="8"/>
  <c r="F62" i="8" s="1"/>
  <c r="F61" i="8" s="1"/>
  <c r="B62" i="8"/>
  <c r="AG61" i="8"/>
  <c r="AF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B60" i="8"/>
  <c r="AG59" i="8"/>
  <c r="AF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AE58" i="8"/>
  <c r="F58" i="8" s="1"/>
  <c r="F57" i="8" s="1"/>
  <c r="B58" i="8"/>
  <c r="AG57" i="8"/>
  <c r="AF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AE56" i="8"/>
  <c r="F56" i="8" s="1"/>
  <c r="B56" i="8"/>
  <c r="AE55" i="8"/>
  <c r="P55" i="8"/>
  <c r="B55" i="8"/>
  <c r="AE54" i="8"/>
  <c r="F54" i="8" s="1"/>
  <c r="B54" i="8"/>
  <c r="AG53" i="8"/>
  <c r="AF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O53" i="8"/>
  <c r="N53" i="8"/>
  <c r="M53" i="8"/>
  <c r="L53" i="8"/>
  <c r="K53" i="8"/>
  <c r="J53" i="8"/>
  <c r="I53" i="8"/>
  <c r="H53" i="8"/>
  <c r="G53" i="8"/>
  <c r="AE52" i="8"/>
  <c r="F52" i="8" s="1"/>
  <c r="F51" i="8" s="1"/>
  <c r="B52" i="8"/>
  <c r="AG51" i="8"/>
  <c r="AF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AE50" i="8"/>
  <c r="F50" i="8" s="1"/>
  <c r="F49" i="8" s="1"/>
  <c r="B50" i="8"/>
  <c r="AG49" i="8"/>
  <c r="AF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AE48" i="8"/>
  <c r="F48" i="8" s="1"/>
  <c r="F47" i="8" s="1"/>
  <c r="B48" i="8"/>
  <c r="AG47" i="8"/>
  <c r="AF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B46" i="8"/>
  <c r="AE45" i="8"/>
  <c r="F45" i="8" s="1"/>
  <c r="B45" i="8"/>
  <c r="AE44" i="8"/>
  <c r="F44" i="8" s="1"/>
  <c r="B44" i="8"/>
  <c r="AG43" i="8"/>
  <c r="AF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AE42" i="8"/>
  <c r="F42" i="8" s="1"/>
  <c r="F41" i="8" s="1"/>
  <c r="B42" i="8"/>
  <c r="AG41" i="8"/>
  <c r="AF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AE40" i="8"/>
  <c r="F40" i="8" s="1"/>
  <c r="F39" i="8" s="1"/>
  <c r="B40" i="8"/>
  <c r="AG39" i="8"/>
  <c r="AF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AE38" i="8"/>
  <c r="F38" i="8" s="1"/>
  <c r="B38" i="8"/>
  <c r="AE37" i="8"/>
  <c r="F37" i="8" s="1"/>
  <c r="B37" i="8"/>
  <c r="AE36" i="8"/>
  <c r="F36" i="8" s="1"/>
  <c r="B36" i="8"/>
  <c r="AG35" i="8"/>
  <c r="AF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AE34" i="8"/>
  <c r="F34" i="8" s="1"/>
  <c r="B34" i="8"/>
  <c r="AE33" i="8"/>
  <c r="F33" i="8" s="1"/>
  <c r="F32" i="8" s="1"/>
  <c r="B33" i="8"/>
  <c r="AG32" i="8"/>
  <c r="AF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AE31" i="8"/>
  <c r="F31" i="8" s="1"/>
  <c r="B31" i="8"/>
  <c r="AE30" i="8"/>
  <c r="F30" i="8" s="1"/>
  <c r="B30" i="8"/>
  <c r="AG29" i="8"/>
  <c r="AF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AE28" i="8"/>
  <c r="F28" i="8" s="1"/>
  <c r="F27" i="8" s="1"/>
  <c r="B28" i="8"/>
  <c r="AG27" i="8"/>
  <c r="AF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E26" i="8"/>
  <c r="F26" i="8" s="1"/>
  <c r="F25" i="8" s="1"/>
  <c r="B26" i="8"/>
  <c r="AG25" i="8"/>
  <c r="AF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AE24" i="8"/>
  <c r="F24" i="8" s="1"/>
  <c r="F23" i="8" s="1"/>
  <c r="B24" i="8"/>
  <c r="AG23" i="8"/>
  <c r="AF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AE22" i="8"/>
  <c r="F22" i="8" s="1"/>
  <c r="B22" i="8"/>
  <c r="AE21" i="8"/>
  <c r="F21" i="8" s="1"/>
  <c r="B21" i="8"/>
  <c r="AE20" i="8"/>
  <c r="F20" i="8" s="1"/>
  <c r="B20" i="8"/>
  <c r="AE19" i="8"/>
  <c r="F19" i="8" s="1"/>
  <c r="B19" i="8"/>
  <c r="AE18" i="8"/>
  <c r="F18" i="8" s="1"/>
  <c r="B18" i="8"/>
  <c r="AE17" i="8"/>
  <c r="F17" i="8" s="1"/>
  <c r="B17" i="8"/>
  <c r="AE16" i="8"/>
  <c r="F16" i="8" s="1"/>
  <c r="B16" i="8"/>
  <c r="AE15" i="8"/>
  <c r="F15" i="8" s="1"/>
  <c r="B15" i="8"/>
  <c r="AG14" i="8"/>
  <c r="AF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AE13" i="8"/>
  <c r="F13" i="8" s="1"/>
  <c r="F12" i="8" s="1"/>
  <c r="B13" i="8"/>
  <c r="AG12" i="8"/>
  <c r="AF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O12" i="8"/>
  <c r="N12" i="8"/>
  <c r="M12" i="8"/>
  <c r="L12" i="8"/>
  <c r="K12" i="8"/>
  <c r="J12" i="8"/>
  <c r="I12" i="8"/>
  <c r="H12" i="8"/>
  <c r="G12" i="8"/>
  <c r="D138" i="5"/>
  <c r="C138" i="5"/>
  <c r="D79" i="5"/>
  <c r="C79" i="5"/>
  <c r="D11" i="5"/>
  <c r="C11" i="5"/>
  <c r="AS1650" i="3"/>
  <c r="AS1649" i="3"/>
  <c r="AS1648" i="3"/>
  <c r="AS1647" i="3"/>
  <c r="AS1646" i="3"/>
  <c r="AS1645" i="3"/>
  <c r="AS1644" i="3"/>
  <c r="AS1643" i="3"/>
  <c r="AS1642" i="3"/>
  <c r="AS1641" i="3"/>
  <c r="AS1640" i="3"/>
  <c r="AS1639" i="3"/>
  <c r="AS1638" i="3"/>
  <c r="AS1637" i="3"/>
  <c r="AS1636" i="3"/>
  <c r="AS1635" i="3"/>
  <c r="AS1634" i="3"/>
  <c r="AS1633" i="3"/>
  <c r="AS1632" i="3"/>
  <c r="AS1631" i="3"/>
  <c r="AS1630" i="3"/>
  <c r="AS1629" i="3"/>
  <c r="AS1628" i="3"/>
  <c r="AS1627" i="3"/>
  <c r="AS1626" i="3"/>
  <c r="AS1625" i="3"/>
  <c r="AS1624" i="3"/>
  <c r="AS1623" i="3"/>
  <c r="AS1622" i="3"/>
  <c r="AS1621" i="3"/>
  <c r="AS1620" i="3"/>
  <c r="AS1619" i="3"/>
  <c r="AS1618" i="3"/>
  <c r="AS1617" i="3"/>
  <c r="AS1616" i="3"/>
  <c r="AS1615" i="3"/>
  <c r="AS1614" i="3"/>
  <c r="AS1613" i="3"/>
  <c r="AS1612" i="3"/>
  <c r="AS1611" i="3"/>
  <c r="AS1610" i="3"/>
  <c r="AS1609" i="3"/>
  <c r="AS1608" i="3"/>
  <c r="AS1607" i="3"/>
  <c r="AS1606" i="3"/>
  <c r="AS1605" i="3"/>
  <c r="AS1604" i="3"/>
  <c r="AS1603" i="3"/>
  <c r="AS1602" i="3"/>
  <c r="AS1601" i="3"/>
  <c r="AS1600" i="3"/>
  <c r="AS1599" i="3"/>
  <c r="AS1598" i="3"/>
  <c r="AS1597" i="3"/>
  <c r="AS1596" i="3"/>
  <c r="AS1595" i="3"/>
  <c r="AS1594" i="3"/>
  <c r="AS1593" i="3"/>
  <c r="AS1592" i="3"/>
  <c r="AS1591" i="3"/>
  <c r="AS1590" i="3"/>
  <c r="AS1589" i="3"/>
  <c r="AS1588" i="3"/>
  <c r="AS1587" i="3"/>
  <c r="AS1586" i="3"/>
  <c r="AS1585" i="3"/>
  <c r="AS1584" i="3"/>
  <c r="AS1583" i="3"/>
  <c r="AS1582" i="3"/>
  <c r="AS1581" i="3"/>
  <c r="AS1580" i="3"/>
  <c r="AS1579" i="3"/>
  <c r="AS1578" i="3"/>
  <c r="AS1577" i="3"/>
  <c r="AS1576" i="3"/>
  <c r="AS1575" i="3"/>
  <c r="AS1574" i="3"/>
  <c r="AS1573" i="3"/>
  <c r="AS1572" i="3"/>
  <c r="AS1571" i="3"/>
  <c r="AS1570" i="3"/>
  <c r="AS1569" i="3"/>
  <c r="AS1568" i="3"/>
  <c r="AS1567" i="3"/>
  <c r="AS1566" i="3"/>
  <c r="AS1565" i="3"/>
  <c r="AS1564" i="3"/>
  <c r="AS1563" i="3"/>
  <c r="AS1562" i="3"/>
  <c r="AS1561" i="3"/>
  <c r="AS1560" i="3"/>
  <c r="AS1559" i="3"/>
  <c r="AS1558" i="3"/>
  <c r="AS1557" i="3"/>
  <c r="AS1556" i="3"/>
  <c r="AS1555" i="3"/>
  <c r="AS1554" i="3"/>
  <c r="AS1553" i="3"/>
  <c r="AS1552" i="3"/>
  <c r="AS1551" i="3"/>
  <c r="AS1550" i="3"/>
  <c r="AS1549" i="3"/>
  <c r="AS1548" i="3"/>
  <c r="AS1547" i="3"/>
  <c r="AS1546" i="3"/>
  <c r="AS1545" i="3"/>
  <c r="AS1544" i="3"/>
  <c r="AS1543" i="3"/>
  <c r="AS1542" i="3"/>
  <c r="AS1541" i="3"/>
  <c r="AS1540" i="3"/>
  <c r="AS1539" i="3"/>
  <c r="AS1538" i="3"/>
  <c r="AS1537" i="3"/>
  <c r="AS1536" i="3"/>
  <c r="AS1535" i="3"/>
  <c r="AS1534" i="3"/>
  <c r="AS1533" i="3"/>
  <c r="AS1532" i="3"/>
  <c r="AS1531" i="3"/>
  <c r="AS1530" i="3"/>
  <c r="AS1529" i="3"/>
  <c r="AS1528" i="3"/>
  <c r="AS1527" i="3"/>
  <c r="AS1526" i="3"/>
  <c r="AS1525" i="3"/>
  <c r="AS1524" i="3"/>
  <c r="AS1523" i="3"/>
  <c r="AS1522" i="3"/>
  <c r="AS1521" i="3"/>
  <c r="AS1520" i="3"/>
  <c r="AS1519" i="3"/>
  <c r="AS1518" i="3"/>
  <c r="AS1517" i="3"/>
  <c r="AS1516" i="3"/>
  <c r="AS1515" i="3"/>
  <c r="AS1514" i="3"/>
  <c r="AS1513" i="3"/>
  <c r="AS1512" i="3"/>
  <c r="AS1511" i="3"/>
  <c r="AS1510" i="3"/>
  <c r="AS1509" i="3"/>
  <c r="AS1508" i="3"/>
  <c r="AS1507" i="3"/>
  <c r="AS1506" i="3"/>
  <c r="AS1505" i="3"/>
  <c r="AS1504" i="3"/>
  <c r="AS1503" i="3"/>
  <c r="AS1502" i="3"/>
  <c r="AS1501" i="3"/>
  <c r="AS1500" i="3"/>
  <c r="AS1499" i="3"/>
  <c r="AS1498" i="3"/>
  <c r="AS1497" i="3"/>
  <c r="AS1496" i="3"/>
  <c r="AS1495" i="3"/>
  <c r="AS1494" i="3"/>
  <c r="AS1493" i="3"/>
  <c r="AS1492" i="3"/>
  <c r="AS1491" i="3"/>
  <c r="AS1490" i="3"/>
  <c r="AS1489" i="3"/>
  <c r="AS1488" i="3"/>
  <c r="AS1487" i="3"/>
  <c r="AS1486" i="3"/>
  <c r="AS1485" i="3"/>
  <c r="AS1484" i="3"/>
  <c r="AS1483" i="3"/>
  <c r="AS1482" i="3"/>
  <c r="AS1481" i="3"/>
  <c r="AS1480" i="3"/>
  <c r="AS1479" i="3"/>
  <c r="AS1478" i="3"/>
  <c r="AS1477" i="3"/>
  <c r="AS1476" i="3"/>
  <c r="AS1475" i="3"/>
  <c r="AS1474" i="3"/>
  <c r="AS1473" i="3"/>
  <c r="AS1472" i="3"/>
  <c r="AS1471" i="3"/>
  <c r="AS1470" i="3"/>
  <c r="AS1469" i="3"/>
  <c r="AS1468" i="3"/>
  <c r="AS1467" i="3"/>
  <c r="AS1466" i="3"/>
  <c r="AS1465" i="3"/>
  <c r="AS1464" i="3"/>
  <c r="AS1463" i="3"/>
  <c r="AS1462" i="3"/>
  <c r="AS1461" i="3"/>
  <c r="AS1460" i="3"/>
  <c r="AS1459" i="3"/>
  <c r="AS1458" i="3"/>
  <c r="AS1457" i="3"/>
  <c r="AS1456" i="3"/>
  <c r="AS1455" i="3"/>
  <c r="AS1454" i="3"/>
  <c r="AS1453" i="3"/>
  <c r="AS1452" i="3"/>
  <c r="AS1451" i="3"/>
  <c r="AS1450" i="3"/>
  <c r="AS1449" i="3"/>
  <c r="AS1448" i="3"/>
  <c r="AS1447" i="3"/>
  <c r="AS1446" i="3"/>
  <c r="AS1445" i="3"/>
  <c r="AS1444" i="3"/>
  <c r="AS1443" i="3"/>
  <c r="AS1442" i="3"/>
  <c r="AS1441" i="3"/>
  <c r="AS1440" i="3"/>
  <c r="AS1439" i="3"/>
  <c r="AS1438" i="3"/>
  <c r="AS1437" i="3"/>
  <c r="AS1436" i="3"/>
  <c r="AS1435" i="3"/>
  <c r="AS1434" i="3"/>
  <c r="AS1433" i="3"/>
  <c r="AS1432" i="3"/>
  <c r="AS1431" i="3"/>
  <c r="AS1430" i="3"/>
  <c r="AS1429" i="3"/>
  <c r="AS1428" i="3"/>
  <c r="AS1427" i="3"/>
  <c r="AS1426" i="3"/>
  <c r="AS1425" i="3"/>
  <c r="AS1424" i="3"/>
  <c r="AS1423" i="3"/>
  <c r="AS1422" i="3"/>
  <c r="AS1421" i="3"/>
  <c r="AS1420" i="3"/>
  <c r="AS1419" i="3"/>
  <c r="AS1418" i="3"/>
  <c r="AS1417" i="3"/>
  <c r="AS1416" i="3"/>
  <c r="AS1415" i="3"/>
  <c r="AS1414" i="3"/>
  <c r="AS1413" i="3"/>
  <c r="AS1412" i="3"/>
  <c r="AS1411" i="3"/>
  <c r="AS1410" i="3"/>
  <c r="AS1409" i="3"/>
  <c r="AS1408" i="3"/>
  <c r="AS1407" i="3"/>
  <c r="AS1406" i="3"/>
  <c r="AS1405" i="3"/>
  <c r="AS1404" i="3"/>
  <c r="AS1403" i="3"/>
  <c r="AS1402" i="3"/>
  <c r="AS1401" i="3"/>
  <c r="AS1400" i="3"/>
  <c r="AS1399" i="3"/>
  <c r="AS1398" i="3"/>
  <c r="AS1397" i="3"/>
  <c r="AS1396" i="3"/>
  <c r="AS1395" i="3"/>
  <c r="AS1394" i="3"/>
  <c r="AS1393" i="3"/>
  <c r="AS1392" i="3"/>
  <c r="AS1391" i="3"/>
  <c r="AS1390" i="3"/>
  <c r="AS1389" i="3"/>
  <c r="AS1388" i="3"/>
  <c r="AS1387" i="3"/>
  <c r="AS1386" i="3"/>
  <c r="AS1385" i="3"/>
  <c r="AS1384" i="3"/>
  <c r="AS1383" i="3"/>
  <c r="AS1382" i="3"/>
  <c r="AS1381" i="3"/>
  <c r="AS1380" i="3"/>
  <c r="AS1379" i="3"/>
  <c r="AS1378" i="3"/>
  <c r="AS1377" i="3"/>
  <c r="AS1376" i="3"/>
  <c r="AS1375" i="3"/>
  <c r="AS1374" i="3"/>
  <c r="AS1373" i="3"/>
  <c r="AS1372" i="3"/>
  <c r="AS1371" i="3"/>
  <c r="AS1370" i="3"/>
  <c r="AS1369" i="3"/>
  <c r="AS1368" i="3"/>
  <c r="AS1367" i="3"/>
  <c r="AS1366" i="3"/>
  <c r="AS1365" i="3"/>
  <c r="AS1364" i="3"/>
  <c r="AS1363" i="3"/>
  <c r="AS1362" i="3"/>
  <c r="AS1361" i="3"/>
  <c r="AS1360" i="3"/>
  <c r="AS1359" i="3"/>
  <c r="AS1358" i="3"/>
  <c r="AS1357" i="3"/>
  <c r="AS1356" i="3"/>
  <c r="AS1355" i="3"/>
  <c r="AS1354" i="3"/>
  <c r="AS1353" i="3"/>
  <c r="AS1352" i="3"/>
  <c r="AS1351" i="3"/>
  <c r="AS1350" i="3"/>
  <c r="AS1349" i="3"/>
  <c r="AS1348" i="3"/>
  <c r="AS1347" i="3"/>
  <c r="AS1346" i="3"/>
  <c r="AS1345" i="3"/>
  <c r="AS1344" i="3"/>
  <c r="AS1343" i="3"/>
  <c r="AS1342" i="3"/>
  <c r="AS1341" i="3"/>
  <c r="AS1340" i="3"/>
  <c r="AS1339" i="3"/>
  <c r="AS1338" i="3"/>
  <c r="AS1337" i="3"/>
  <c r="AS1336" i="3"/>
  <c r="AS1335" i="3"/>
  <c r="AS1334" i="3"/>
  <c r="AS1333" i="3"/>
  <c r="AS1332" i="3"/>
  <c r="AS1331" i="3"/>
  <c r="AS1330" i="3"/>
  <c r="AS1329" i="3"/>
  <c r="AS1328" i="3"/>
  <c r="AS1327" i="3"/>
  <c r="AS1326" i="3"/>
  <c r="AS1325" i="3"/>
  <c r="AS1324" i="3"/>
  <c r="AS1323" i="3"/>
  <c r="AS1322" i="3"/>
  <c r="AS1321" i="3"/>
  <c r="AS1320" i="3"/>
  <c r="AS1319" i="3"/>
  <c r="AS1318" i="3"/>
  <c r="AS1317" i="3"/>
  <c r="AS1316" i="3"/>
  <c r="AS1315" i="3"/>
  <c r="AS1314" i="3"/>
  <c r="AS1313" i="3"/>
  <c r="AS1312" i="3"/>
  <c r="AS1311" i="3"/>
  <c r="AS1310" i="3"/>
  <c r="AS1309" i="3"/>
  <c r="AS1308" i="3"/>
  <c r="AS1307" i="3"/>
  <c r="AS1306" i="3"/>
  <c r="AS1305" i="3"/>
  <c r="AS1304" i="3"/>
  <c r="AS1303" i="3"/>
  <c r="AS1302" i="3"/>
  <c r="AS1301" i="3"/>
  <c r="AS1300" i="3"/>
  <c r="AS1299" i="3"/>
  <c r="AS1298" i="3"/>
  <c r="AS1297" i="3"/>
  <c r="AS1296" i="3"/>
  <c r="AS1295" i="3"/>
  <c r="AS1294" i="3"/>
  <c r="AS1293" i="3"/>
  <c r="AS1292" i="3"/>
  <c r="AS1291" i="3"/>
  <c r="AS1290" i="3"/>
  <c r="AS1289" i="3"/>
  <c r="AS1288" i="3"/>
  <c r="AS1287" i="3"/>
  <c r="AS1286" i="3"/>
  <c r="AS1285" i="3"/>
  <c r="AS1284" i="3"/>
  <c r="AS1283" i="3"/>
  <c r="AS1282" i="3"/>
  <c r="AS1281" i="3"/>
  <c r="AS1280" i="3"/>
  <c r="AS1279" i="3"/>
  <c r="AS1278" i="3"/>
  <c r="AS1277" i="3"/>
  <c r="AS1276" i="3"/>
  <c r="AS1275" i="3"/>
  <c r="AS1274" i="3"/>
  <c r="AS1273" i="3"/>
  <c r="AS1272" i="3"/>
  <c r="AS1271" i="3"/>
  <c r="AS1270" i="3"/>
  <c r="AS1269" i="3"/>
  <c r="AS1268" i="3"/>
  <c r="AS1267" i="3"/>
  <c r="AS1266" i="3"/>
  <c r="AS1265" i="3"/>
  <c r="AS1264" i="3"/>
  <c r="AS1263" i="3"/>
  <c r="AS1262" i="3"/>
  <c r="AS1261" i="3"/>
  <c r="AS1260" i="3"/>
  <c r="AS1259" i="3"/>
  <c r="AS1258" i="3"/>
  <c r="AS1257" i="3"/>
  <c r="AS1256" i="3"/>
  <c r="AS1255" i="3"/>
  <c r="AS1254" i="3"/>
  <c r="AS1253" i="3"/>
  <c r="AS1252" i="3"/>
  <c r="AS1251" i="3"/>
  <c r="AS1250" i="3"/>
  <c r="AS1249" i="3"/>
  <c r="AS1248" i="3"/>
  <c r="AS1247" i="3"/>
  <c r="AS1246" i="3"/>
  <c r="AS1245" i="3"/>
  <c r="AS1244" i="3"/>
  <c r="AS1243" i="3"/>
  <c r="AS1242" i="3"/>
  <c r="AS1241" i="3"/>
  <c r="AS1240" i="3"/>
  <c r="AS1239" i="3"/>
  <c r="AS1238" i="3"/>
  <c r="AS1237" i="3"/>
  <c r="AS1236" i="3"/>
  <c r="AS1235" i="3"/>
  <c r="AT1232" i="7"/>
  <c r="AC1232" i="7"/>
  <c r="D1232" i="7" s="1"/>
  <c r="D1231" i="7" s="1"/>
  <c r="B1232" i="7"/>
  <c r="AE1231" i="7"/>
  <c r="AD1231" i="7"/>
  <c r="AB1231" i="7"/>
  <c r="AA1231" i="7"/>
  <c r="Z1231" i="7"/>
  <c r="Y1231" i="7"/>
  <c r="X1231" i="7"/>
  <c r="W1231" i="7"/>
  <c r="V1231" i="7"/>
  <c r="U1231" i="7"/>
  <c r="T1231" i="7"/>
  <c r="S1231" i="7"/>
  <c r="R1231" i="7"/>
  <c r="Q1231" i="7"/>
  <c r="P1231" i="7"/>
  <c r="O1231" i="7"/>
  <c r="N1231" i="7"/>
  <c r="M1231" i="7"/>
  <c r="L1231" i="7"/>
  <c r="K1231" i="7"/>
  <c r="J1231" i="7"/>
  <c r="I1231" i="7"/>
  <c r="H1231" i="7"/>
  <c r="G1231" i="7"/>
  <c r="F1231" i="7"/>
  <c r="E1231" i="7"/>
  <c r="AC1230" i="7"/>
  <c r="D1230" i="7" s="1"/>
  <c r="B1230" i="7"/>
  <c r="AC1229" i="7"/>
  <c r="D1229" i="7" s="1"/>
  <c r="B1229" i="7"/>
  <c r="AC1228" i="7"/>
  <c r="D1228" i="7" s="1"/>
  <c r="B1228" i="7"/>
  <c r="AE1227" i="7"/>
  <c r="AD1227" i="7"/>
  <c r="AB1227" i="7"/>
  <c r="AA1227" i="7"/>
  <c r="Z1227" i="7"/>
  <c r="Y1227" i="7"/>
  <c r="X1227" i="7"/>
  <c r="W1227" i="7"/>
  <c r="V1227" i="7"/>
  <c r="U1227" i="7"/>
  <c r="T1227" i="7"/>
  <c r="S1227" i="7"/>
  <c r="R1227" i="7"/>
  <c r="Q1227" i="7"/>
  <c r="P1227" i="7"/>
  <c r="O1227" i="7"/>
  <c r="N1227" i="7"/>
  <c r="M1227" i="7"/>
  <c r="L1227" i="7"/>
  <c r="K1227" i="7"/>
  <c r="J1227" i="7"/>
  <c r="I1227" i="7"/>
  <c r="H1227" i="7"/>
  <c r="G1227" i="7"/>
  <c r="F1227" i="7"/>
  <c r="E1227" i="7"/>
  <c r="N1226" i="7"/>
  <c r="AC1226" i="7" s="1"/>
  <c r="D1226" i="7" s="1"/>
  <c r="D1225" i="7" s="1"/>
  <c r="B1226" i="7"/>
  <c r="AE1225" i="7"/>
  <c r="AD1225" i="7"/>
  <c r="AB1225" i="7"/>
  <c r="AA1225" i="7"/>
  <c r="Z1225" i="7"/>
  <c r="Y1225" i="7"/>
  <c r="X1225" i="7"/>
  <c r="W1225" i="7"/>
  <c r="V1225" i="7"/>
  <c r="U1225" i="7"/>
  <c r="T1225" i="7"/>
  <c r="S1225" i="7"/>
  <c r="R1225" i="7"/>
  <c r="Q1225" i="7"/>
  <c r="P1225" i="7"/>
  <c r="O1225" i="7"/>
  <c r="M1225" i="7"/>
  <c r="L1225" i="7"/>
  <c r="K1225" i="7"/>
  <c r="J1225" i="7"/>
  <c r="I1225" i="7"/>
  <c r="H1225" i="7"/>
  <c r="G1225" i="7"/>
  <c r="F1225" i="7"/>
  <c r="E1225" i="7"/>
  <c r="AC1224" i="7"/>
  <c r="D1224" i="7" s="1"/>
  <c r="D1223" i="7" s="1"/>
  <c r="B1224" i="7"/>
  <c r="AE1223" i="7"/>
  <c r="AD1223" i="7"/>
  <c r="AB1223" i="7"/>
  <c r="AA1223" i="7"/>
  <c r="Z1223" i="7"/>
  <c r="Y1223" i="7"/>
  <c r="X1223" i="7"/>
  <c r="W1223" i="7"/>
  <c r="V1223" i="7"/>
  <c r="U1223" i="7"/>
  <c r="T1223" i="7"/>
  <c r="S1223" i="7"/>
  <c r="R1223" i="7"/>
  <c r="Q1223" i="7"/>
  <c r="P1223" i="7"/>
  <c r="O1223" i="7"/>
  <c r="N1223" i="7"/>
  <c r="M1223" i="7"/>
  <c r="L1223" i="7"/>
  <c r="K1223" i="7"/>
  <c r="J1223" i="7"/>
  <c r="I1223" i="7"/>
  <c r="H1223" i="7"/>
  <c r="G1223" i="7"/>
  <c r="F1223" i="7"/>
  <c r="E1223" i="7"/>
  <c r="N1222" i="7"/>
  <c r="N1221" i="7" s="1"/>
  <c r="B1222" i="7"/>
  <c r="AE1221" i="7"/>
  <c r="AD1221" i="7"/>
  <c r="AB1221" i="7"/>
  <c r="AA1221" i="7"/>
  <c r="Z1221" i="7"/>
  <c r="Y1221" i="7"/>
  <c r="X1221" i="7"/>
  <c r="W1221" i="7"/>
  <c r="V1221" i="7"/>
  <c r="U1221" i="7"/>
  <c r="T1221" i="7"/>
  <c r="S1221" i="7"/>
  <c r="R1221" i="7"/>
  <c r="Q1221" i="7"/>
  <c r="P1221" i="7"/>
  <c r="O1221" i="7"/>
  <c r="M1221" i="7"/>
  <c r="L1221" i="7"/>
  <c r="K1221" i="7"/>
  <c r="J1221" i="7"/>
  <c r="I1221" i="7"/>
  <c r="H1221" i="7"/>
  <c r="G1221" i="7"/>
  <c r="F1221" i="7"/>
  <c r="E1221" i="7"/>
  <c r="AC1220" i="7"/>
  <c r="D1220" i="7" s="1"/>
  <c r="B1220" i="7"/>
  <c r="AC1219" i="7"/>
  <c r="D1219" i="7" s="1"/>
  <c r="B1219" i="7"/>
  <c r="AC1218" i="7"/>
  <c r="B1218" i="7"/>
  <c r="AE1217" i="7"/>
  <c r="AD1217" i="7"/>
  <c r="AB1217" i="7"/>
  <c r="AA1217" i="7"/>
  <c r="Z1217" i="7"/>
  <c r="Y1217" i="7"/>
  <c r="X1217" i="7"/>
  <c r="W1217" i="7"/>
  <c r="V1217" i="7"/>
  <c r="U1217" i="7"/>
  <c r="T1217" i="7"/>
  <c r="S1217" i="7"/>
  <c r="R1217" i="7"/>
  <c r="Q1217" i="7"/>
  <c r="P1217" i="7"/>
  <c r="O1217" i="7"/>
  <c r="N1217" i="7"/>
  <c r="M1217" i="7"/>
  <c r="L1217" i="7"/>
  <c r="K1217" i="7"/>
  <c r="J1217" i="7"/>
  <c r="I1217" i="7"/>
  <c r="H1217" i="7"/>
  <c r="G1217" i="7"/>
  <c r="F1217" i="7"/>
  <c r="E1217" i="7"/>
  <c r="AC1216" i="7"/>
  <c r="B1216" i="7"/>
  <c r="AC1215" i="7"/>
  <c r="D1215" i="7" s="1"/>
  <c r="B1215" i="7"/>
  <c r="AE1214" i="7"/>
  <c r="AD1214" i="7"/>
  <c r="AB1214" i="7"/>
  <c r="AA1214" i="7"/>
  <c r="Z1214" i="7"/>
  <c r="Y1214" i="7"/>
  <c r="X1214" i="7"/>
  <c r="W1214" i="7"/>
  <c r="V1214" i="7"/>
  <c r="U1214" i="7"/>
  <c r="T1214" i="7"/>
  <c r="S1214" i="7"/>
  <c r="R1214" i="7"/>
  <c r="Q1214" i="7"/>
  <c r="P1214" i="7"/>
  <c r="O1214" i="7"/>
  <c r="N1214" i="7"/>
  <c r="M1214" i="7"/>
  <c r="L1214" i="7"/>
  <c r="K1214" i="7"/>
  <c r="J1214" i="7"/>
  <c r="I1214" i="7"/>
  <c r="H1214" i="7"/>
  <c r="G1214" i="7"/>
  <c r="F1214" i="7"/>
  <c r="E1214" i="7"/>
  <c r="AC1213" i="7"/>
  <c r="D1213" i="7" s="1"/>
  <c r="D1212" i="7" s="1"/>
  <c r="B1213" i="7"/>
  <c r="AE1212" i="7"/>
  <c r="AD1212" i="7"/>
  <c r="AB1212" i="7"/>
  <c r="AA1212" i="7"/>
  <c r="Z1212" i="7"/>
  <c r="Y1212" i="7"/>
  <c r="X1212" i="7"/>
  <c r="W1212" i="7"/>
  <c r="V1212" i="7"/>
  <c r="U1212" i="7"/>
  <c r="T1212" i="7"/>
  <c r="S1212" i="7"/>
  <c r="R1212" i="7"/>
  <c r="Q1212" i="7"/>
  <c r="P1212" i="7"/>
  <c r="O1212" i="7"/>
  <c r="N1212" i="7"/>
  <c r="M1212" i="7"/>
  <c r="L1212" i="7"/>
  <c r="K1212" i="7"/>
  <c r="J1212" i="7"/>
  <c r="I1212" i="7"/>
  <c r="H1212" i="7"/>
  <c r="G1212" i="7"/>
  <c r="F1212" i="7"/>
  <c r="E1212" i="7"/>
  <c r="AC1211" i="7"/>
  <c r="B1211" i="7"/>
  <c r="AE1210" i="7"/>
  <c r="AD1210" i="7"/>
  <c r="AB1210" i="7"/>
  <c r="AA1210" i="7"/>
  <c r="Z1210" i="7"/>
  <c r="Y1210" i="7"/>
  <c r="X1210" i="7"/>
  <c r="W1210" i="7"/>
  <c r="V1210" i="7"/>
  <c r="U1210" i="7"/>
  <c r="T1210" i="7"/>
  <c r="S1210" i="7"/>
  <c r="R1210" i="7"/>
  <c r="Q1210" i="7"/>
  <c r="P1210" i="7"/>
  <c r="O1210" i="7"/>
  <c r="N1210" i="7"/>
  <c r="M1210" i="7"/>
  <c r="L1210" i="7"/>
  <c r="K1210" i="7"/>
  <c r="J1210" i="7"/>
  <c r="I1210" i="7"/>
  <c r="H1210" i="7"/>
  <c r="G1210" i="7"/>
  <c r="F1210" i="7"/>
  <c r="E1210" i="7"/>
  <c r="AC1209" i="7"/>
  <c r="D1209" i="7" s="1"/>
  <c r="B1209" i="7"/>
  <c r="AC1208" i="7"/>
  <c r="B1208" i="7"/>
  <c r="AE1207" i="7"/>
  <c r="AD1207" i="7"/>
  <c r="AB1207" i="7"/>
  <c r="AA1207" i="7"/>
  <c r="Z1207" i="7"/>
  <c r="Y1207" i="7"/>
  <c r="X1207" i="7"/>
  <c r="W1207" i="7"/>
  <c r="V1207" i="7"/>
  <c r="U1207" i="7"/>
  <c r="T1207" i="7"/>
  <c r="S1207" i="7"/>
  <c r="R1207" i="7"/>
  <c r="Q1207" i="7"/>
  <c r="P1207" i="7"/>
  <c r="O1207" i="7"/>
  <c r="N1207" i="7"/>
  <c r="M1207" i="7"/>
  <c r="L1207" i="7"/>
  <c r="K1207" i="7"/>
  <c r="J1207" i="7"/>
  <c r="I1207" i="7"/>
  <c r="H1207" i="7"/>
  <c r="G1207" i="7"/>
  <c r="F1207" i="7"/>
  <c r="E1207" i="7"/>
  <c r="AT1206" i="7"/>
  <c r="AC1206" i="7"/>
  <c r="D1206" i="7" s="1"/>
  <c r="AC1204" i="7"/>
  <c r="D1204" i="7" s="1"/>
  <c r="B1204" i="7"/>
  <c r="D1203" i="7"/>
  <c r="B1203" i="7"/>
  <c r="AE1202" i="7"/>
  <c r="AD1202" i="7"/>
  <c r="AB1202" i="7"/>
  <c r="AA1202" i="7"/>
  <c r="Z1202" i="7"/>
  <c r="Y1202" i="7"/>
  <c r="X1202" i="7"/>
  <c r="W1202" i="7"/>
  <c r="V1202" i="7"/>
  <c r="U1202" i="7"/>
  <c r="T1202" i="7"/>
  <c r="S1202" i="7"/>
  <c r="R1202" i="7"/>
  <c r="Q1202" i="7"/>
  <c r="P1202" i="7"/>
  <c r="O1202" i="7"/>
  <c r="N1202" i="7"/>
  <c r="M1202" i="7"/>
  <c r="L1202" i="7"/>
  <c r="K1202" i="7"/>
  <c r="J1202" i="7"/>
  <c r="I1202" i="7"/>
  <c r="H1202" i="7"/>
  <c r="G1202" i="7"/>
  <c r="F1202" i="7"/>
  <c r="E1202" i="7"/>
  <c r="AC1201" i="7"/>
  <c r="D1201" i="7" s="1"/>
  <c r="B1201" i="7"/>
  <c r="AC1200" i="7"/>
  <c r="D1200" i="7" s="1"/>
  <c r="B1200" i="7"/>
  <c r="AC1199" i="7"/>
  <c r="B1199" i="7"/>
  <c r="AE1198" i="7"/>
  <c r="AD1198" i="7"/>
  <c r="AB1198" i="7"/>
  <c r="AA1198" i="7"/>
  <c r="Z1198" i="7"/>
  <c r="Y1198" i="7"/>
  <c r="X1198" i="7"/>
  <c r="W1198" i="7"/>
  <c r="V1198" i="7"/>
  <c r="U1198" i="7"/>
  <c r="T1198" i="7"/>
  <c r="S1198" i="7"/>
  <c r="R1198" i="7"/>
  <c r="Q1198" i="7"/>
  <c r="P1198" i="7"/>
  <c r="O1198" i="7"/>
  <c r="N1198" i="7"/>
  <c r="M1198" i="7"/>
  <c r="L1198" i="7"/>
  <c r="K1198" i="7"/>
  <c r="J1198" i="7"/>
  <c r="I1198" i="7"/>
  <c r="H1198" i="7"/>
  <c r="G1198" i="7"/>
  <c r="F1198" i="7"/>
  <c r="E1198" i="7"/>
  <c r="AC1197" i="7"/>
  <c r="D1197" i="7" s="1"/>
  <c r="B1197" i="7"/>
  <c r="AC1196" i="7"/>
  <c r="D1196" i="7" s="1"/>
  <c r="B1196" i="7"/>
  <c r="AE1195" i="7"/>
  <c r="AD1195" i="7"/>
  <c r="AB1195" i="7"/>
  <c r="AA1195" i="7"/>
  <c r="Z1195" i="7"/>
  <c r="Y1195" i="7"/>
  <c r="X1195" i="7"/>
  <c r="W1195" i="7"/>
  <c r="V1195" i="7"/>
  <c r="U1195" i="7"/>
  <c r="T1195" i="7"/>
  <c r="S1195" i="7"/>
  <c r="R1195" i="7"/>
  <c r="Q1195" i="7"/>
  <c r="P1195" i="7"/>
  <c r="O1195" i="7"/>
  <c r="N1195" i="7"/>
  <c r="M1195" i="7"/>
  <c r="L1195" i="7"/>
  <c r="K1195" i="7"/>
  <c r="J1195" i="7"/>
  <c r="I1195" i="7"/>
  <c r="H1195" i="7"/>
  <c r="G1195" i="7"/>
  <c r="F1195" i="7"/>
  <c r="E1195" i="7"/>
  <c r="AC1194" i="7"/>
  <c r="D1194" i="7" s="1"/>
  <c r="B1194" i="7"/>
  <c r="AC1193" i="7"/>
  <c r="B1193" i="7"/>
  <c r="AE1192" i="7"/>
  <c r="AD1192" i="7"/>
  <c r="AB1192" i="7"/>
  <c r="AA1192" i="7"/>
  <c r="Z1192" i="7"/>
  <c r="Y1192" i="7"/>
  <c r="X1192" i="7"/>
  <c r="W1192" i="7"/>
  <c r="V1192" i="7"/>
  <c r="U1192" i="7"/>
  <c r="T1192" i="7"/>
  <c r="S1192" i="7"/>
  <c r="R1192" i="7"/>
  <c r="Q1192" i="7"/>
  <c r="P1192" i="7"/>
  <c r="O1192" i="7"/>
  <c r="N1192" i="7"/>
  <c r="M1192" i="7"/>
  <c r="L1192" i="7"/>
  <c r="K1192" i="7"/>
  <c r="J1192" i="7"/>
  <c r="I1192" i="7"/>
  <c r="H1192" i="7"/>
  <c r="G1192" i="7"/>
  <c r="F1192" i="7"/>
  <c r="E1192" i="7"/>
  <c r="AC1191" i="7"/>
  <c r="D1191" i="7" s="1"/>
  <c r="D1190" i="7" s="1"/>
  <c r="B1191" i="7"/>
  <c r="AE1190" i="7"/>
  <c r="AD1190" i="7"/>
  <c r="AB1190" i="7"/>
  <c r="AA1190" i="7"/>
  <c r="Z1190" i="7"/>
  <c r="Y1190" i="7"/>
  <c r="X1190" i="7"/>
  <c r="W1190" i="7"/>
  <c r="V1190" i="7"/>
  <c r="U1190" i="7"/>
  <c r="T1190" i="7"/>
  <c r="S1190" i="7"/>
  <c r="R1190" i="7"/>
  <c r="Q1190" i="7"/>
  <c r="P1190" i="7"/>
  <c r="O1190" i="7"/>
  <c r="N1190" i="7"/>
  <c r="M1190" i="7"/>
  <c r="L1190" i="7"/>
  <c r="K1190" i="7"/>
  <c r="J1190" i="7"/>
  <c r="I1190" i="7"/>
  <c r="H1190" i="7"/>
  <c r="G1190" i="7"/>
  <c r="F1190" i="7"/>
  <c r="E1190" i="7"/>
  <c r="AC1189" i="7"/>
  <c r="D1189" i="7" s="1"/>
  <c r="D1188" i="7" s="1"/>
  <c r="B1189" i="7"/>
  <c r="AE1188" i="7"/>
  <c r="AD1188" i="7"/>
  <c r="AB1188" i="7"/>
  <c r="AA1188" i="7"/>
  <c r="Z1188" i="7"/>
  <c r="Y1188" i="7"/>
  <c r="X1188" i="7"/>
  <c r="W1188" i="7"/>
  <c r="V1188" i="7"/>
  <c r="U1188" i="7"/>
  <c r="T1188" i="7"/>
  <c r="S1188" i="7"/>
  <c r="R1188" i="7"/>
  <c r="Q1188" i="7"/>
  <c r="P1188" i="7"/>
  <c r="O1188" i="7"/>
  <c r="N1188" i="7"/>
  <c r="M1188" i="7"/>
  <c r="L1188" i="7"/>
  <c r="K1188" i="7"/>
  <c r="J1188" i="7"/>
  <c r="I1188" i="7"/>
  <c r="H1188" i="7"/>
  <c r="G1188" i="7"/>
  <c r="F1188" i="7"/>
  <c r="E1188" i="7"/>
  <c r="AC1187" i="7"/>
  <c r="D1187" i="7" s="1"/>
  <c r="D1186" i="7" s="1"/>
  <c r="B1187" i="7"/>
  <c r="AE1186" i="7"/>
  <c r="AD1186" i="7"/>
  <c r="AB1186" i="7"/>
  <c r="AA1186" i="7"/>
  <c r="Z1186" i="7"/>
  <c r="Y1186" i="7"/>
  <c r="X1186" i="7"/>
  <c r="W1186" i="7"/>
  <c r="V1186" i="7"/>
  <c r="U1186" i="7"/>
  <c r="T1186" i="7"/>
  <c r="S1186" i="7"/>
  <c r="R1186" i="7"/>
  <c r="Q1186" i="7"/>
  <c r="P1186" i="7"/>
  <c r="O1186" i="7"/>
  <c r="N1186" i="7"/>
  <c r="M1186" i="7"/>
  <c r="L1186" i="7"/>
  <c r="K1186" i="7"/>
  <c r="J1186" i="7"/>
  <c r="I1186" i="7"/>
  <c r="H1186" i="7"/>
  <c r="G1186" i="7"/>
  <c r="F1186" i="7"/>
  <c r="E1186" i="7"/>
  <c r="AC1185" i="7"/>
  <c r="D1185" i="7" s="1"/>
  <c r="B1185" i="7"/>
  <c r="AC1184" i="7"/>
  <c r="D1184" i="7" s="1"/>
  <c r="B1184" i="7"/>
  <c r="AC1183" i="7"/>
  <c r="B1183" i="7"/>
  <c r="AE1182" i="7"/>
  <c r="AD1182" i="7"/>
  <c r="AB1182" i="7"/>
  <c r="AA1182" i="7"/>
  <c r="Z1182" i="7"/>
  <c r="Y1182" i="7"/>
  <c r="X1182" i="7"/>
  <c r="W1182" i="7"/>
  <c r="V1182" i="7"/>
  <c r="U1182" i="7"/>
  <c r="T1182" i="7"/>
  <c r="S1182" i="7"/>
  <c r="R1182" i="7"/>
  <c r="Q1182" i="7"/>
  <c r="P1182" i="7"/>
  <c r="O1182" i="7"/>
  <c r="N1182" i="7"/>
  <c r="M1182" i="7"/>
  <c r="L1182" i="7"/>
  <c r="K1182" i="7"/>
  <c r="J1182" i="7"/>
  <c r="I1182" i="7"/>
  <c r="H1182" i="7"/>
  <c r="G1182" i="7"/>
  <c r="F1182" i="7"/>
  <c r="E1182" i="7"/>
  <c r="AC1181" i="7"/>
  <c r="B1181" i="7"/>
  <c r="AE1180" i="7"/>
  <c r="AD1180" i="7"/>
  <c r="AB1180" i="7"/>
  <c r="AA1180" i="7"/>
  <c r="Z1180" i="7"/>
  <c r="Y1180" i="7"/>
  <c r="X1180" i="7"/>
  <c r="W1180" i="7"/>
  <c r="V1180" i="7"/>
  <c r="U1180" i="7"/>
  <c r="T1180" i="7"/>
  <c r="S1180" i="7"/>
  <c r="R1180" i="7"/>
  <c r="Q1180" i="7"/>
  <c r="P1180" i="7"/>
  <c r="O1180" i="7"/>
  <c r="N1180" i="7"/>
  <c r="M1180" i="7"/>
  <c r="L1180" i="7"/>
  <c r="K1180" i="7"/>
  <c r="J1180" i="7"/>
  <c r="I1180" i="7"/>
  <c r="H1180" i="7"/>
  <c r="G1180" i="7"/>
  <c r="F1180" i="7"/>
  <c r="E1180" i="7"/>
  <c r="AC1179" i="7"/>
  <c r="D1179" i="7" s="1"/>
  <c r="D1178" i="7" s="1"/>
  <c r="B1179" i="7"/>
  <c r="AE1178" i="7"/>
  <c r="AD1178" i="7"/>
  <c r="AB1178" i="7"/>
  <c r="AA1178" i="7"/>
  <c r="Z1178" i="7"/>
  <c r="Y1178" i="7"/>
  <c r="X1178" i="7"/>
  <c r="W1178" i="7"/>
  <c r="V1178" i="7"/>
  <c r="U1178" i="7"/>
  <c r="T1178" i="7"/>
  <c r="S1178" i="7"/>
  <c r="R1178" i="7"/>
  <c r="Q1178" i="7"/>
  <c r="P1178" i="7"/>
  <c r="O1178" i="7"/>
  <c r="N1178" i="7"/>
  <c r="M1178" i="7"/>
  <c r="L1178" i="7"/>
  <c r="K1178" i="7"/>
  <c r="J1178" i="7"/>
  <c r="I1178" i="7"/>
  <c r="H1178" i="7"/>
  <c r="G1178" i="7"/>
  <c r="F1178" i="7"/>
  <c r="E1178" i="7"/>
  <c r="AC1177" i="7"/>
  <c r="D1177" i="7" s="1"/>
  <c r="D1176" i="7" s="1"/>
  <c r="B1177" i="7"/>
  <c r="AE1176" i="7"/>
  <c r="AD1176" i="7"/>
  <c r="AB1176" i="7"/>
  <c r="AA1176" i="7"/>
  <c r="Z1176" i="7"/>
  <c r="Y1176" i="7"/>
  <c r="X1176" i="7"/>
  <c r="W1176" i="7"/>
  <c r="V1176" i="7"/>
  <c r="U1176" i="7"/>
  <c r="T1176" i="7"/>
  <c r="S1176" i="7"/>
  <c r="R1176" i="7"/>
  <c r="Q1176" i="7"/>
  <c r="P1176" i="7"/>
  <c r="O1176" i="7"/>
  <c r="N1176" i="7"/>
  <c r="M1176" i="7"/>
  <c r="L1176" i="7"/>
  <c r="K1176" i="7"/>
  <c r="J1176" i="7"/>
  <c r="I1176" i="7"/>
  <c r="H1176" i="7"/>
  <c r="G1176" i="7"/>
  <c r="F1176" i="7"/>
  <c r="E1176" i="7"/>
  <c r="AC1175" i="7"/>
  <c r="D1175" i="7" s="1"/>
  <c r="B1175" i="7"/>
  <c r="AC1174" i="7"/>
  <c r="D1174" i="7" s="1"/>
  <c r="B1174" i="7"/>
  <c r="AC1173" i="7"/>
  <c r="B1173" i="7"/>
  <c r="AE1172" i="7"/>
  <c r="AD1172" i="7"/>
  <c r="AB1172" i="7"/>
  <c r="AA1172" i="7"/>
  <c r="Z1172" i="7"/>
  <c r="Y1172" i="7"/>
  <c r="X1172" i="7"/>
  <c r="W1172" i="7"/>
  <c r="V1172" i="7"/>
  <c r="U1172" i="7"/>
  <c r="T1172" i="7"/>
  <c r="S1172" i="7"/>
  <c r="R1172" i="7"/>
  <c r="Q1172" i="7"/>
  <c r="P1172" i="7"/>
  <c r="O1172" i="7"/>
  <c r="N1172" i="7"/>
  <c r="M1172" i="7"/>
  <c r="L1172" i="7"/>
  <c r="K1172" i="7"/>
  <c r="J1172" i="7"/>
  <c r="I1172" i="7"/>
  <c r="H1172" i="7"/>
  <c r="G1172" i="7"/>
  <c r="F1172" i="7"/>
  <c r="E1172" i="7"/>
  <c r="AC1171" i="7"/>
  <c r="B1171" i="7"/>
  <c r="AE1170" i="7"/>
  <c r="AD1170" i="7"/>
  <c r="AB1170" i="7"/>
  <c r="AA1170" i="7"/>
  <c r="Z1170" i="7"/>
  <c r="Y1170" i="7"/>
  <c r="X1170" i="7"/>
  <c r="W1170" i="7"/>
  <c r="V1170" i="7"/>
  <c r="U1170" i="7"/>
  <c r="T1170" i="7"/>
  <c r="S1170" i="7"/>
  <c r="R1170" i="7"/>
  <c r="Q1170" i="7"/>
  <c r="P1170" i="7"/>
  <c r="O1170" i="7"/>
  <c r="N1170" i="7"/>
  <c r="M1170" i="7"/>
  <c r="L1170" i="7"/>
  <c r="K1170" i="7"/>
  <c r="J1170" i="7"/>
  <c r="I1170" i="7"/>
  <c r="H1170" i="7"/>
  <c r="G1170" i="7"/>
  <c r="F1170" i="7"/>
  <c r="E1170" i="7"/>
  <c r="AC1169" i="7"/>
  <c r="D1169" i="7" s="1"/>
  <c r="D1168" i="7" s="1"/>
  <c r="B1169" i="7"/>
  <c r="AE1168" i="7"/>
  <c r="AD1168" i="7"/>
  <c r="AB1168" i="7"/>
  <c r="AA1168" i="7"/>
  <c r="Z1168" i="7"/>
  <c r="Y1168" i="7"/>
  <c r="X1168" i="7"/>
  <c r="W1168" i="7"/>
  <c r="V1168" i="7"/>
  <c r="U1168" i="7"/>
  <c r="T1168" i="7"/>
  <c r="S1168" i="7"/>
  <c r="R1168" i="7"/>
  <c r="Q1168" i="7"/>
  <c r="P1168" i="7"/>
  <c r="O1168" i="7"/>
  <c r="N1168" i="7"/>
  <c r="M1168" i="7"/>
  <c r="L1168" i="7"/>
  <c r="K1168" i="7"/>
  <c r="J1168" i="7"/>
  <c r="I1168" i="7"/>
  <c r="H1168" i="7"/>
  <c r="G1168" i="7"/>
  <c r="F1168" i="7"/>
  <c r="E1168" i="7"/>
  <c r="AC1167" i="7"/>
  <c r="D1167" i="7" s="1"/>
  <c r="D1166" i="7" s="1"/>
  <c r="B1167" i="7"/>
  <c r="AE1166" i="7"/>
  <c r="AD1166" i="7"/>
  <c r="AB1166" i="7"/>
  <c r="AA1166" i="7"/>
  <c r="Z1166" i="7"/>
  <c r="Y1166" i="7"/>
  <c r="X1166" i="7"/>
  <c r="W1166" i="7"/>
  <c r="V1166" i="7"/>
  <c r="U1166" i="7"/>
  <c r="T1166" i="7"/>
  <c r="S1166" i="7"/>
  <c r="R1166" i="7"/>
  <c r="Q1166" i="7"/>
  <c r="P1166" i="7"/>
  <c r="O1166" i="7"/>
  <c r="N1166" i="7"/>
  <c r="M1166" i="7"/>
  <c r="L1166" i="7"/>
  <c r="K1166" i="7"/>
  <c r="J1166" i="7"/>
  <c r="I1166" i="7"/>
  <c r="H1166" i="7"/>
  <c r="G1166" i="7"/>
  <c r="F1166" i="7"/>
  <c r="E1166" i="7"/>
  <c r="AC1165" i="7"/>
  <c r="AC1164" i="7" s="1"/>
  <c r="B1165" i="7"/>
  <c r="AE1164" i="7"/>
  <c r="AD1164" i="7"/>
  <c r="AB1164" i="7"/>
  <c r="AA1164" i="7"/>
  <c r="Z1164" i="7"/>
  <c r="Y1164" i="7"/>
  <c r="X1164" i="7"/>
  <c r="W1164" i="7"/>
  <c r="V1164" i="7"/>
  <c r="U1164" i="7"/>
  <c r="T1164" i="7"/>
  <c r="S1164" i="7"/>
  <c r="R1164" i="7"/>
  <c r="Q1164" i="7"/>
  <c r="P1164" i="7"/>
  <c r="O1164" i="7"/>
  <c r="N1164" i="7"/>
  <c r="M1164" i="7"/>
  <c r="L1164" i="7"/>
  <c r="K1164" i="7"/>
  <c r="J1164" i="7"/>
  <c r="I1164" i="7"/>
  <c r="H1164" i="7"/>
  <c r="G1164" i="7"/>
  <c r="F1164" i="7"/>
  <c r="E1164" i="7"/>
  <c r="AC1163" i="7"/>
  <c r="B1163" i="7"/>
  <c r="AE1162" i="7"/>
  <c r="AD1162" i="7"/>
  <c r="AB1162" i="7"/>
  <c r="AA1162" i="7"/>
  <c r="Z1162" i="7"/>
  <c r="Y1162" i="7"/>
  <c r="X1162" i="7"/>
  <c r="W1162" i="7"/>
  <c r="V1162" i="7"/>
  <c r="U1162" i="7"/>
  <c r="T1162" i="7"/>
  <c r="S1162" i="7"/>
  <c r="R1162" i="7"/>
  <c r="Q1162" i="7"/>
  <c r="P1162" i="7"/>
  <c r="O1162" i="7"/>
  <c r="N1162" i="7"/>
  <c r="M1162" i="7"/>
  <c r="L1162" i="7"/>
  <c r="K1162" i="7"/>
  <c r="J1162" i="7"/>
  <c r="I1162" i="7"/>
  <c r="H1162" i="7"/>
  <c r="G1162" i="7"/>
  <c r="F1162" i="7"/>
  <c r="E1162" i="7"/>
  <c r="AC1161" i="7"/>
  <c r="D1161" i="7" s="1"/>
  <c r="D1160" i="7" s="1"/>
  <c r="B1161" i="7"/>
  <c r="AE1160" i="7"/>
  <c r="AD1160" i="7"/>
  <c r="AB1160" i="7"/>
  <c r="AA1160" i="7"/>
  <c r="Z1160" i="7"/>
  <c r="Y1160" i="7"/>
  <c r="X1160" i="7"/>
  <c r="W1160" i="7"/>
  <c r="V1160" i="7"/>
  <c r="U1160" i="7"/>
  <c r="T1160" i="7"/>
  <c r="S1160" i="7"/>
  <c r="R1160" i="7"/>
  <c r="Q1160" i="7"/>
  <c r="P1160" i="7"/>
  <c r="O1160" i="7"/>
  <c r="N1160" i="7"/>
  <c r="M1160" i="7"/>
  <c r="L1160" i="7"/>
  <c r="K1160" i="7"/>
  <c r="J1160" i="7"/>
  <c r="I1160" i="7"/>
  <c r="H1160" i="7"/>
  <c r="G1160" i="7"/>
  <c r="F1160" i="7"/>
  <c r="E1160" i="7"/>
  <c r="AC1159" i="7"/>
  <c r="D1159" i="7" s="1"/>
  <c r="B1159" i="7"/>
  <c r="AC1158" i="7"/>
  <c r="D1158" i="7" s="1"/>
  <c r="B1158" i="7"/>
  <c r="AC1157" i="7"/>
  <c r="D1157" i="7" s="1"/>
  <c r="B1157" i="7"/>
  <c r="AE1156" i="7"/>
  <c r="AD1156" i="7"/>
  <c r="AB1156" i="7"/>
  <c r="AA1156" i="7"/>
  <c r="Z1156" i="7"/>
  <c r="Y1156" i="7"/>
  <c r="X1156" i="7"/>
  <c r="W1156" i="7"/>
  <c r="V1156" i="7"/>
  <c r="U1156" i="7"/>
  <c r="T1156" i="7"/>
  <c r="S1156" i="7"/>
  <c r="R1156" i="7"/>
  <c r="Q1156" i="7"/>
  <c r="P1156" i="7"/>
  <c r="O1156" i="7"/>
  <c r="N1156" i="7"/>
  <c r="M1156" i="7"/>
  <c r="L1156" i="7"/>
  <c r="K1156" i="7"/>
  <c r="J1156" i="7"/>
  <c r="I1156" i="7"/>
  <c r="H1156" i="7"/>
  <c r="G1156" i="7"/>
  <c r="F1156" i="7"/>
  <c r="E1156" i="7"/>
  <c r="AC1155" i="7"/>
  <c r="AC1154" i="7" s="1"/>
  <c r="B1155" i="7"/>
  <c r="AE1154" i="7"/>
  <c r="AD1154" i="7"/>
  <c r="AB1154" i="7"/>
  <c r="AA1154" i="7"/>
  <c r="Z1154" i="7"/>
  <c r="Y1154" i="7"/>
  <c r="X1154" i="7"/>
  <c r="W1154" i="7"/>
  <c r="V1154" i="7"/>
  <c r="U1154" i="7"/>
  <c r="T1154" i="7"/>
  <c r="S1154" i="7"/>
  <c r="R1154" i="7"/>
  <c r="Q1154" i="7"/>
  <c r="P1154" i="7"/>
  <c r="O1154" i="7"/>
  <c r="N1154" i="7"/>
  <c r="M1154" i="7"/>
  <c r="L1154" i="7"/>
  <c r="K1154" i="7"/>
  <c r="J1154" i="7"/>
  <c r="I1154" i="7"/>
  <c r="H1154" i="7"/>
  <c r="G1154" i="7"/>
  <c r="F1154" i="7"/>
  <c r="E1154" i="7"/>
  <c r="AC1153" i="7"/>
  <c r="D1153" i="7" s="1"/>
  <c r="B1153" i="7"/>
  <c r="AC1152" i="7"/>
  <c r="B1152" i="7"/>
  <c r="AE1151" i="7"/>
  <c r="AD1151" i="7"/>
  <c r="AB1151" i="7"/>
  <c r="AA1151" i="7"/>
  <c r="Z1151" i="7"/>
  <c r="Y1151" i="7"/>
  <c r="X1151" i="7"/>
  <c r="W1151" i="7"/>
  <c r="V1151" i="7"/>
  <c r="U1151" i="7"/>
  <c r="T1151" i="7"/>
  <c r="S1151" i="7"/>
  <c r="R1151" i="7"/>
  <c r="Q1151" i="7"/>
  <c r="P1151" i="7"/>
  <c r="O1151" i="7"/>
  <c r="N1151" i="7"/>
  <c r="M1151" i="7"/>
  <c r="L1151" i="7"/>
  <c r="K1151" i="7"/>
  <c r="J1151" i="7"/>
  <c r="I1151" i="7"/>
  <c r="H1151" i="7"/>
  <c r="G1151" i="7"/>
  <c r="F1151" i="7"/>
  <c r="E1151" i="7"/>
  <c r="AC1150" i="7"/>
  <c r="D1150" i="7" s="1"/>
  <c r="B1150" i="7"/>
  <c r="AC1149" i="7"/>
  <c r="D1149" i="7" s="1"/>
  <c r="B1149" i="7"/>
  <c r="AC1148" i="7"/>
  <c r="B1148" i="7"/>
  <c r="AE1147" i="7"/>
  <c r="AD1147" i="7"/>
  <c r="AB1147" i="7"/>
  <c r="AA1147" i="7"/>
  <c r="Z1147" i="7"/>
  <c r="Y1147" i="7"/>
  <c r="X1147" i="7"/>
  <c r="W1147" i="7"/>
  <c r="V1147" i="7"/>
  <c r="U1147" i="7"/>
  <c r="T1147" i="7"/>
  <c r="S1147" i="7"/>
  <c r="R1147" i="7"/>
  <c r="Q1147" i="7"/>
  <c r="P1147" i="7"/>
  <c r="O1147" i="7"/>
  <c r="N1147" i="7"/>
  <c r="M1147" i="7"/>
  <c r="L1147" i="7"/>
  <c r="K1147" i="7"/>
  <c r="J1147" i="7"/>
  <c r="I1147" i="7"/>
  <c r="H1147" i="7"/>
  <c r="G1147" i="7"/>
  <c r="F1147" i="7"/>
  <c r="E1147" i="7"/>
  <c r="AC1146" i="7"/>
  <c r="D1146" i="7" s="1"/>
  <c r="B1146" i="7"/>
  <c r="AC1145" i="7"/>
  <c r="D1145" i="7" s="1"/>
  <c r="B1145" i="7"/>
  <c r="AE1144" i="7"/>
  <c r="AD1144" i="7"/>
  <c r="AB1144" i="7"/>
  <c r="AA1144" i="7"/>
  <c r="Z1144" i="7"/>
  <c r="Y1144" i="7"/>
  <c r="X1144" i="7"/>
  <c r="W1144" i="7"/>
  <c r="V1144" i="7"/>
  <c r="U1144" i="7"/>
  <c r="T1144" i="7"/>
  <c r="S1144" i="7"/>
  <c r="R1144" i="7"/>
  <c r="Q1144" i="7"/>
  <c r="P1144" i="7"/>
  <c r="O1144" i="7"/>
  <c r="N1144" i="7"/>
  <c r="M1144" i="7"/>
  <c r="L1144" i="7"/>
  <c r="K1144" i="7"/>
  <c r="J1144" i="7"/>
  <c r="I1144" i="7"/>
  <c r="H1144" i="7"/>
  <c r="G1144" i="7"/>
  <c r="F1144" i="7"/>
  <c r="E1144" i="7"/>
  <c r="U1143" i="7"/>
  <c r="AC1143" i="7" s="1"/>
  <c r="D1143" i="7" s="1"/>
  <c r="B1143" i="7"/>
  <c r="N1142" i="7"/>
  <c r="AC1142" i="7" s="1"/>
  <c r="D1142" i="7" s="1"/>
  <c r="B1142" i="7"/>
  <c r="N1141" i="7"/>
  <c r="AC1141" i="7" s="1"/>
  <c r="D1141" i="7" s="1"/>
  <c r="B1141" i="7"/>
  <c r="N1140" i="7"/>
  <c r="AC1140" i="7" s="1"/>
  <c r="D1140" i="7" s="1"/>
  <c r="B1140" i="7"/>
  <c r="D1139" i="7"/>
  <c r="B1139" i="7"/>
  <c r="N1138" i="7"/>
  <c r="AC1138" i="7" s="1"/>
  <c r="D1138" i="7" s="1"/>
  <c r="B1138" i="7"/>
  <c r="AE1137" i="7"/>
  <c r="AD1137" i="7"/>
  <c r="AB1137" i="7"/>
  <c r="AA1137" i="7"/>
  <c r="Z1137" i="7"/>
  <c r="Y1137" i="7"/>
  <c r="X1137" i="7"/>
  <c r="W1137" i="7"/>
  <c r="V1137" i="7"/>
  <c r="T1137" i="7"/>
  <c r="S1137" i="7"/>
  <c r="R1137" i="7"/>
  <c r="Q1137" i="7"/>
  <c r="P1137" i="7"/>
  <c r="O1137" i="7"/>
  <c r="M1137" i="7"/>
  <c r="L1137" i="7"/>
  <c r="K1137" i="7"/>
  <c r="J1137" i="7"/>
  <c r="I1137" i="7"/>
  <c r="H1137" i="7"/>
  <c r="G1137" i="7"/>
  <c r="F1137" i="7"/>
  <c r="E1137" i="7"/>
  <c r="AC1136" i="7"/>
  <c r="D1136" i="7" s="1"/>
  <c r="D1135" i="7" s="1"/>
  <c r="B1136" i="7"/>
  <c r="AE1135" i="7"/>
  <c r="AD1135" i="7"/>
  <c r="AB1135" i="7"/>
  <c r="AA1135" i="7"/>
  <c r="Z1135" i="7"/>
  <c r="Y1135" i="7"/>
  <c r="X1135" i="7"/>
  <c r="W1135" i="7"/>
  <c r="V1135" i="7"/>
  <c r="U1135" i="7"/>
  <c r="T1135" i="7"/>
  <c r="S1135" i="7"/>
  <c r="R1135" i="7"/>
  <c r="Q1135" i="7"/>
  <c r="P1135" i="7"/>
  <c r="O1135" i="7"/>
  <c r="N1135" i="7"/>
  <c r="M1135" i="7"/>
  <c r="L1135" i="7"/>
  <c r="K1135" i="7"/>
  <c r="J1135" i="7"/>
  <c r="I1135" i="7"/>
  <c r="H1135" i="7"/>
  <c r="G1135" i="7"/>
  <c r="F1135" i="7"/>
  <c r="E1135" i="7"/>
  <c r="AC1134" i="7"/>
  <c r="B1134" i="7"/>
  <c r="AE1133" i="7"/>
  <c r="AD1133" i="7"/>
  <c r="AB1133" i="7"/>
  <c r="AA1133" i="7"/>
  <c r="Z1133" i="7"/>
  <c r="Y1133" i="7"/>
  <c r="X1133" i="7"/>
  <c r="W1133" i="7"/>
  <c r="V1133" i="7"/>
  <c r="U1133" i="7"/>
  <c r="T1133" i="7"/>
  <c r="S1133" i="7"/>
  <c r="R1133" i="7"/>
  <c r="Q1133" i="7"/>
  <c r="P1133" i="7"/>
  <c r="O1133" i="7"/>
  <c r="N1133" i="7"/>
  <c r="M1133" i="7"/>
  <c r="L1133" i="7"/>
  <c r="K1133" i="7"/>
  <c r="J1133" i="7"/>
  <c r="I1133" i="7"/>
  <c r="H1133" i="7"/>
  <c r="G1133" i="7"/>
  <c r="F1133" i="7"/>
  <c r="E1133" i="7"/>
  <c r="AC1132" i="7"/>
  <c r="B1132" i="7"/>
  <c r="AE1131" i="7"/>
  <c r="AD1131" i="7"/>
  <c r="AB1131" i="7"/>
  <c r="AA1131" i="7"/>
  <c r="Z1131" i="7"/>
  <c r="Y1131" i="7"/>
  <c r="X1131" i="7"/>
  <c r="W1131" i="7"/>
  <c r="V1131" i="7"/>
  <c r="U1131" i="7"/>
  <c r="T1131" i="7"/>
  <c r="S1131" i="7"/>
  <c r="R1131" i="7"/>
  <c r="Q1131" i="7"/>
  <c r="P1131" i="7"/>
  <c r="O1131" i="7"/>
  <c r="N1131" i="7"/>
  <c r="M1131" i="7"/>
  <c r="L1131" i="7"/>
  <c r="K1131" i="7"/>
  <c r="J1131" i="7"/>
  <c r="I1131" i="7"/>
  <c r="H1131" i="7"/>
  <c r="G1131" i="7"/>
  <c r="F1131" i="7"/>
  <c r="E1131" i="7"/>
  <c r="AC1130" i="7"/>
  <c r="D1130" i="7" s="1"/>
  <c r="B1130" i="7"/>
  <c r="AC1129" i="7"/>
  <c r="B1129" i="7"/>
  <c r="AE1128" i="7"/>
  <c r="AD1128" i="7"/>
  <c r="AB1128" i="7"/>
  <c r="AA1128" i="7"/>
  <c r="Z1128" i="7"/>
  <c r="Y1128" i="7"/>
  <c r="X1128" i="7"/>
  <c r="W1128" i="7"/>
  <c r="V1128" i="7"/>
  <c r="U1128" i="7"/>
  <c r="T1128" i="7"/>
  <c r="S1128" i="7"/>
  <c r="R1128" i="7"/>
  <c r="Q1128" i="7"/>
  <c r="P1128" i="7"/>
  <c r="O1128" i="7"/>
  <c r="N1128" i="7"/>
  <c r="M1128" i="7"/>
  <c r="L1128" i="7"/>
  <c r="K1128" i="7"/>
  <c r="J1128" i="7"/>
  <c r="I1128" i="7"/>
  <c r="H1128" i="7"/>
  <c r="G1128" i="7"/>
  <c r="F1128" i="7"/>
  <c r="E1128" i="7"/>
  <c r="AC1127" i="7"/>
  <c r="B1127" i="7"/>
  <c r="AC1124" i="7"/>
  <c r="D1124" i="7" s="1"/>
  <c r="D1123" i="7" s="1"/>
  <c r="B1124" i="7"/>
  <c r="AE1123" i="7"/>
  <c r="AD1123" i="7"/>
  <c r="AB1123" i="7"/>
  <c r="AA1123" i="7"/>
  <c r="Z1123" i="7"/>
  <c r="Y1123" i="7"/>
  <c r="X1123" i="7"/>
  <c r="W1123" i="7"/>
  <c r="V1123" i="7"/>
  <c r="U1123" i="7"/>
  <c r="T1123" i="7"/>
  <c r="S1123" i="7"/>
  <c r="R1123" i="7"/>
  <c r="Q1123" i="7"/>
  <c r="P1123" i="7"/>
  <c r="O1123" i="7"/>
  <c r="N1123" i="7"/>
  <c r="M1123" i="7"/>
  <c r="L1123" i="7"/>
  <c r="K1123" i="7"/>
  <c r="J1123" i="7"/>
  <c r="I1123" i="7"/>
  <c r="H1123" i="7"/>
  <c r="G1123" i="7"/>
  <c r="F1123" i="7"/>
  <c r="E1123" i="7"/>
  <c r="AC1122" i="7"/>
  <c r="AC1121" i="7" s="1"/>
  <c r="B1122" i="7"/>
  <c r="AE1121" i="7"/>
  <c r="AD1121" i="7"/>
  <c r="AB1121" i="7"/>
  <c r="AA1121" i="7"/>
  <c r="Z1121" i="7"/>
  <c r="Y1121" i="7"/>
  <c r="X1121" i="7"/>
  <c r="W1121" i="7"/>
  <c r="V1121" i="7"/>
  <c r="U1121" i="7"/>
  <c r="T1121" i="7"/>
  <c r="S1121" i="7"/>
  <c r="R1121" i="7"/>
  <c r="Q1121" i="7"/>
  <c r="P1121" i="7"/>
  <c r="O1121" i="7"/>
  <c r="N1121" i="7"/>
  <c r="M1121" i="7"/>
  <c r="L1121" i="7"/>
  <c r="K1121" i="7"/>
  <c r="J1121" i="7"/>
  <c r="I1121" i="7"/>
  <c r="H1121" i="7"/>
  <c r="G1121" i="7"/>
  <c r="F1121" i="7"/>
  <c r="E1121" i="7"/>
  <c r="AC1120" i="7"/>
  <c r="B1120" i="7"/>
  <c r="AE1119" i="7"/>
  <c r="AD1119" i="7"/>
  <c r="AB1119" i="7"/>
  <c r="AA1119" i="7"/>
  <c r="Z1119" i="7"/>
  <c r="Y1119" i="7"/>
  <c r="X1119" i="7"/>
  <c r="W1119" i="7"/>
  <c r="V1119" i="7"/>
  <c r="U1119" i="7"/>
  <c r="T1119" i="7"/>
  <c r="S1119" i="7"/>
  <c r="R1119" i="7"/>
  <c r="Q1119" i="7"/>
  <c r="P1119" i="7"/>
  <c r="O1119" i="7"/>
  <c r="N1119" i="7"/>
  <c r="M1119" i="7"/>
  <c r="L1119" i="7"/>
  <c r="K1119" i="7"/>
  <c r="J1119" i="7"/>
  <c r="I1119" i="7"/>
  <c r="H1119" i="7"/>
  <c r="G1119" i="7"/>
  <c r="F1119" i="7"/>
  <c r="E1119" i="7"/>
  <c r="AC1118" i="7"/>
  <c r="D1118" i="7" s="1"/>
  <c r="B1118" i="7"/>
  <c r="AC1117" i="7"/>
  <c r="D1117" i="7" s="1"/>
  <c r="B1117" i="7"/>
  <c r="AE1116" i="7"/>
  <c r="AD1116" i="7"/>
  <c r="AB1116" i="7"/>
  <c r="AA1116" i="7"/>
  <c r="Z1116" i="7"/>
  <c r="Y1116" i="7"/>
  <c r="X1116" i="7"/>
  <c r="W1116" i="7"/>
  <c r="V1116" i="7"/>
  <c r="U1116" i="7"/>
  <c r="T1116" i="7"/>
  <c r="S1116" i="7"/>
  <c r="R1116" i="7"/>
  <c r="Q1116" i="7"/>
  <c r="P1116" i="7"/>
  <c r="O1116" i="7"/>
  <c r="N1116" i="7"/>
  <c r="M1116" i="7"/>
  <c r="L1116" i="7"/>
  <c r="K1116" i="7"/>
  <c r="J1116" i="7"/>
  <c r="I1116" i="7"/>
  <c r="H1116" i="7"/>
  <c r="G1116" i="7"/>
  <c r="F1116" i="7"/>
  <c r="E1116" i="7"/>
  <c r="D1115" i="7"/>
  <c r="B1115" i="7"/>
  <c r="AC1114" i="7"/>
  <c r="D1114" i="7" s="1"/>
  <c r="B1114" i="7"/>
  <c r="AT1113" i="7"/>
  <c r="AC1113" i="7"/>
  <c r="D1113" i="7" s="1"/>
  <c r="B1113" i="7"/>
  <c r="R1112" i="7"/>
  <c r="AC1112" i="7" s="1"/>
  <c r="D1112" i="7" s="1"/>
  <c r="B1112" i="7"/>
  <c r="AC1111" i="7"/>
  <c r="B1111" i="7"/>
  <c r="AC1110" i="7"/>
  <c r="D1110" i="7" s="1"/>
  <c r="B1110" i="7"/>
  <c r="AC1109" i="7"/>
  <c r="D1109" i="7" s="1"/>
  <c r="B1109" i="7"/>
  <c r="AE1108" i="7"/>
  <c r="AD1108" i="7"/>
  <c r="AB1108" i="7"/>
  <c r="AA1108" i="7"/>
  <c r="Z1108" i="7"/>
  <c r="Y1108" i="7"/>
  <c r="X1108" i="7"/>
  <c r="W1108" i="7"/>
  <c r="V1108" i="7"/>
  <c r="U1108" i="7"/>
  <c r="T1108" i="7"/>
  <c r="S1108" i="7"/>
  <c r="R1108" i="7"/>
  <c r="Q1108" i="7"/>
  <c r="P1108" i="7"/>
  <c r="O1108" i="7"/>
  <c r="N1108" i="7"/>
  <c r="M1108" i="7"/>
  <c r="L1108" i="7"/>
  <c r="K1108" i="7"/>
  <c r="J1108" i="7"/>
  <c r="I1108" i="7"/>
  <c r="H1108" i="7"/>
  <c r="G1108" i="7"/>
  <c r="F1108" i="7"/>
  <c r="E1108" i="7"/>
  <c r="AC1107" i="7"/>
  <c r="B1107" i="7"/>
  <c r="AE1106" i="7"/>
  <c r="AD1106" i="7"/>
  <c r="AB1106" i="7"/>
  <c r="AA1106" i="7"/>
  <c r="Z1106" i="7"/>
  <c r="Y1106" i="7"/>
  <c r="X1106" i="7"/>
  <c r="W1106" i="7"/>
  <c r="V1106" i="7"/>
  <c r="U1106" i="7"/>
  <c r="T1106" i="7"/>
  <c r="S1106" i="7"/>
  <c r="R1106" i="7"/>
  <c r="Q1106" i="7"/>
  <c r="P1106" i="7"/>
  <c r="O1106" i="7"/>
  <c r="N1106" i="7"/>
  <c r="M1106" i="7"/>
  <c r="L1106" i="7"/>
  <c r="K1106" i="7"/>
  <c r="J1106" i="7"/>
  <c r="I1106" i="7"/>
  <c r="H1106" i="7"/>
  <c r="G1106" i="7"/>
  <c r="F1106" i="7"/>
  <c r="E1106" i="7"/>
  <c r="AC1105" i="7"/>
  <c r="B1105" i="7"/>
  <c r="AE1104" i="7"/>
  <c r="AD1104" i="7"/>
  <c r="AB1104" i="7"/>
  <c r="AA1104" i="7"/>
  <c r="Z1104" i="7"/>
  <c r="Y1104" i="7"/>
  <c r="X1104" i="7"/>
  <c r="W1104" i="7"/>
  <c r="V1104" i="7"/>
  <c r="U1104" i="7"/>
  <c r="T1104" i="7"/>
  <c r="S1104" i="7"/>
  <c r="R1104" i="7"/>
  <c r="Q1104" i="7"/>
  <c r="P1104" i="7"/>
  <c r="O1104" i="7"/>
  <c r="N1104" i="7"/>
  <c r="M1104" i="7"/>
  <c r="L1104" i="7"/>
  <c r="K1104" i="7"/>
  <c r="J1104" i="7"/>
  <c r="I1104" i="7"/>
  <c r="H1104" i="7"/>
  <c r="G1104" i="7"/>
  <c r="F1104" i="7"/>
  <c r="E1104" i="7"/>
  <c r="AC1103" i="7"/>
  <c r="D1103" i="7" s="1"/>
  <c r="B1103" i="7"/>
  <c r="AC1102" i="7"/>
  <c r="D1102" i="7" s="1"/>
  <c r="B1102" i="7"/>
  <c r="AE1101" i="7"/>
  <c r="AD1101" i="7"/>
  <c r="AB1101" i="7"/>
  <c r="AA1101" i="7"/>
  <c r="Z1101" i="7"/>
  <c r="Y1101" i="7"/>
  <c r="X1101" i="7"/>
  <c r="W1101" i="7"/>
  <c r="V1101" i="7"/>
  <c r="U1101" i="7"/>
  <c r="T1101" i="7"/>
  <c r="S1101" i="7"/>
  <c r="R1101" i="7"/>
  <c r="Q1101" i="7"/>
  <c r="P1101" i="7"/>
  <c r="O1101" i="7"/>
  <c r="N1101" i="7"/>
  <c r="M1101" i="7"/>
  <c r="L1101" i="7"/>
  <c r="K1101" i="7"/>
  <c r="J1101" i="7"/>
  <c r="I1101" i="7"/>
  <c r="H1101" i="7"/>
  <c r="G1101" i="7"/>
  <c r="F1101" i="7"/>
  <c r="E1101" i="7"/>
  <c r="AC1100" i="7"/>
  <c r="B1100" i="7"/>
  <c r="AE1099" i="7"/>
  <c r="AD1099" i="7"/>
  <c r="AB1099" i="7"/>
  <c r="AA1099" i="7"/>
  <c r="Z1099" i="7"/>
  <c r="Y1099" i="7"/>
  <c r="X1099" i="7"/>
  <c r="W1099" i="7"/>
  <c r="V1099" i="7"/>
  <c r="U1099" i="7"/>
  <c r="T1099" i="7"/>
  <c r="S1099" i="7"/>
  <c r="R1099" i="7"/>
  <c r="Q1099" i="7"/>
  <c r="P1099" i="7"/>
  <c r="O1099" i="7"/>
  <c r="N1099" i="7"/>
  <c r="M1099" i="7"/>
  <c r="L1099" i="7"/>
  <c r="K1099" i="7"/>
  <c r="J1099" i="7"/>
  <c r="I1099" i="7"/>
  <c r="H1099" i="7"/>
  <c r="G1099" i="7"/>
  <c r="F1099" i="7"/>
  <c r="E1099" i="7"/>
  <c r="AC1098" i="7"/>
  <c r="B1098" i="7"/>
  <c r="AE1097" i="7"/>
  <c r="AD1097" i="7"/>
  <c r="AB1097" i="7"/>
  <c r="AA1097" i="7"/>
  <c r="Z1097" i="7"/>
  <c r="Y1097" i="7"/>
  <c r="X1097" i="7"/>
  <c r="W1097" i="7"/>
  <c r="V1097" i="7"/>
  <c r="U1097" i="7"/>
  <c r="T1097" i="7"/>
  <c r="S1097" i="7"/>
  <c r="R1097" i="7"/>
  <c r="Q1097" i="7"/>
  <c r="P1097" i="7"/>
  <c r="O1097" i="7"/>
  <c r="N1097" i="7"/>
  <c r="M1097" i="7"/>
  <c r="L1097" i="7"/>
  <c r="K1097" i="7"/>
  <c r="J1097" i="7"/>
  <c r="I1097" i="7"/>
  <c r="H1097" i="7"/>
  <c r="G1097" i="7"/>
  <c r="F1097" i="7"/>
  <c r="E1097" i="7"/>
  <c r="AC1096" i="7"/>
  <c r="D1096" i="7" s="1"/>
  <c r="B1096" i="7"/>
  <c r="AC1095" i="7"/>
  <c r="B1095" i="7"/>
  <c r="AE1094" i="7"/>
  <c r="AD1094" i="7"/>
  <c r="AB1094" i="7"/>
  <c r="AA1094" i="7"/>
  <c r="Z1094" i="7"/>
  <c r="Y1094" i="7"/>
  <c r="X1094" i="7"/>
  <c r="W1094" i="7"/>
  <c r="V1094" i="7"/>
  <c r="U1094" i="7"/>
  <c r="T1094" i="7"/>
  <c r="S1094" i="7"/>
  <c r="R1094" i="7"/>
  <c r="Q1094" i="7"/>
  <c r="P1094" i="7"/>
  <c r="O1094" i="7"/>
  <c r="N1094" i="7"/>
  <c r="M1094" i="7"/>
  <c r="L1094" i="7"/>
  <c r="K1094" i="7"/>
  <c r="J1094" i="7"/>
  <c r="I1094" i="7"/>
  <c r="H1094" i="7"/>
  <c r="G1094" i="7"/>
  <c r="F1094" i="7"/>
  <c r="E1094" i="7"/>
  <c r="AC1093" i="7"/>
  <c r="B1093" i="7"/>
  <c r="AC1092" i="7"/>
  <c r="D1092" i="7" s="1"/>
  <c r="B1092" i="7"/>
  <c r="AE1091" i="7"/>
  <c r="AD1091" i="7"/>
  <c r="AB1091" i="7"/>
  <c r="AA1091" i="7"/>
  <c r="Z1091" i="7"/>
  <c r="Y1091" i="7"/>
  <c r="X1091" i="7"/>
  <c r="W1091" i="7"/>
  <c r="V1091" i="7"/>
  <c r="U1091" i="7"/>
  <c r="T1091" i="7"/>
  <c r="S1091" i="7"/>
  <c r="R1091" i="7"/>
  <c r="Q1091" i="7"/>
  <c r="P1091" i="7"/>
  <c r="O1091" i="7"/>
  <c r="N1091" i="7"/>
  <c r="M1091" i="7"/>
  <c r="L1091" i="7"/>
  <c r="K1091" i="7"/>
  <c r="J1091" i="7"/>
  <c r="I1091" i="7"/>
  <c r="H1091" i="7"/>
  <c r="G1091" i="7"/>
  <c r="F1091" i="7"/>
  <c r="E1091" i="7"/>
  <c r="AC1090" i="7"/>
  <c r="D1090" i="7" s="1"/>
  <c r="B1090" i="7"/>
  <c r="AC1089" i="7"/>
  <c r="D1089" i="7" s="1"/>
  <c r="B1089" i="7"/>
  <c r="AC1088" i="7"/>
  <c r="D1088" i="7" s="1"/>
  <c r="B1088" i="7"/>
  <c r="AE1087" i="7"/>
  <c r="AD1087" i="7"/>
  <c r="AB1087" i="7"/>
  <c r="AA1087" i="7"/>
  <c r="Z1087" i="7"/>
  <c r="Y1087" i="7"/>
  <c r="X1087" i="7"/>
  <c r="W1087" i="7"/>
  <c r="V1087" i="7"/>
  <c r="U1087" i="7"/>
  <c r="T1087" i="7"/>
  <c r="S1087" i="7"/>
  <c r="R1087" i="7"/>
  <c r="Q1087" i="7"/>
  <c r="P1087" i="7"/>
  <c r="O1087" i="7"/>
  <c r="N1087" i="7"/>
  <c r="M1087" i="7"/>
  <c r="L1087" i="7"/>
  <c r="K1087" i="7"/>
  <c r="J1087" i="7"/>
  <c r="I1087" i="7"/>
  <c r="H1087" i="7"/>
  <c r="G1087" i="7"/>
  <c r="F1087" i="7"/>
  <c r="E1087" i="7"/>
  <c r="AC1086" i="7"/>
  <c r="D1086" i="7" s="1"/>
  <c r="B1086" i="7"/>
  <c r="AC1085" i="7"/>
  <c r="D1085" i="7" s="1"/>
  <c r="B1085" i="7"/>
  <c r="AC1084" i="7"/>
  <c r="D1084" i="7" s="1"/>
  <c r="B1084" i="7"/>
  <c r="AC1083" i="7"/>
  <c r="D1083" i="7" s="1"/>
  <c r="B1083" i="7"/>
  <c r="AC1082" i="7"/>
  <c r="D1082" i="7" s="1"/>
  <c r="B1082" i="7"/>
  <c r="D1081" i="7"/>
  <c r="B1081" i="7"/>
  <c r="AC1080" i="7"/>
  <c r="D1080" i="7" s="1"/>
  <c r="B1080" i="7"/>
  <c r="AC1079" i="7"/>
  <c r="D1079" i="7" s="1"/>
  <c r="B1079" i="7"/>
  <c r="AE1078" i="7"/>
  <c r="AD1078" i="7"/>
  <c r="AB1078" i="7"/>
  <c r="AA1078" i="7"/>
  <c r="Z1078" i="7"/>
  <c r="Y1078" i="7"/>
  <c r="X1078" i="7"/>
  <c r="W1078" i="7"/>
  <c r="V1078" i="7"/>
  <c r="U1078" i="7"/>
  <c r="T1078" i="7"/>
  <c r="S1078" i="7"/>
  <c r="R1078" i="7"/>
  <c r="Q1078" i="7"/>
  <c r="P1078" i="7"/>
  <c r="O1078" i="7"/>
  <c r="N1078" i="7"/>
  <c r="M1078" i="7"/>
  <c r="L1078" i="7"/>
  <c r="K1078" i="7"/>
  <c r="J1078" i="7"/>
  <c r="I1078" i="7"/>
  <c r="H1078" i="7"/>
  <c r="G1078" i="7"/>
  <c r="F1078" i="7"/>
  <c r="E1078" i="7"/>
  <c r="AC1077" i="7"/>
  <c r="D1077" i="7" s="1"/>
  <c r="B1077" i="7"/>
  <c r="AC1076" i="7"/>
  <c r="D1076" i="7" s="1"/>
  <c r="B1076" i="7"/>
  <c r="AE1075" i="7"/>
  <c r="AD1075" i="7"/>
  <c r="AB1075" i="7"/>
  <c r="AA1075" i="7"/>
  <c r="Z1075" i="7"/>
  <c r="Y1075" i="7"/>
  <c r="X1075" i="7"/>
  <c r="W1075" i="7"/>
  <c r="V1075" i="7"/>
  <c r="U1075" i="7"/>
  <c r="T1075" i="7"/>
  <c r="S1075" i="7"/>
  <c r="R1075" i="7"/>
  <c r="Q1075" i="7"/>
  <c r="P1075" i="7"/>
  <c r="O1075" i="7"/>
  <c r="N1075" i="7"/>
  <c r="M1075" i="7"/>
  <c r="L1075" i="7"/>
  <c r="K1075" i="7"/>
  <c r="J1075" i="7"/>
  <c r="I1075" i="7"/>
  <c r="H1075" i="7"/>
  <c r="G1075" i="7"/>
  <c r="F1075" i="7"/>
  <c r="E1075" i="7"/>
  <c r="AC1074" i="7"/>
  <c r="D1074" i="7" s="1"/>
  <c r="B1074" i="7"/>
  <c r="AT1073" i="7"/>
  <c r="AC1073" i="7"/>
  <c r="D1073" i="7" s="1"/>
  <c r="B1073" i="7"/>
  <c r="N1072" i="7"/>
  <c r="AC1072" i="7" s="1"/>
  <c r="D1072" i="7" s="1"/>
  <c r="B1072" i="7"/>
  <c r="D1071" i="7"/>
  <c r="B1071" i="7"/>
  <c r="AC1070" i="7"/>
  <c r="D1070" i="7" s="1"/>
  <c r="B1070" i="7"/>
  <c r="AC1069" i="7"/>
  <c r="D1069" i="7" s="1"/>
  <c r="B1069" i="7"/>
  <c r="AT1068" i="7"/>
  <c r="AC1068" i="7"/>
  <c r="D1068" i="7" s="1"/>
  <c r="B1068" i="7"/>
  <c r="D1067" i="7"/>
  <c r="B1067" i="7"/>
  <c r="AC1066" i="7"/>
  <c r="D1066" i="7" s="1"/>
  <c r="B1066" i="7"/>
  <c r="AC1065" i="7"/>
  <c r="D1065" i="7" s="1"/>
  <c r="B1065" i="7"/>
  <c r="AC1064" i="7"/>
  <c r="B1064" i="7"/>
  <c r="AE1063" i="7"/>
  <c r="AD1063" i="7"/>
  <c r="AB1063" i="7"/>
  <c r="AA1063" i="7"/>
  <c r="Z1063" i="7"/>
  <c r="Y1063" i="7"/>
  <c r="X1063" i="7"/>
  <c r="W1063" i="7"/>
  <c r="V1063" i="7"/>
  <c r="U1063" i="7"/>
  <c r="T1063" i="7"/>
  <c r="S1063" i="7"/>
  <c r="R1063" i="7"/>
  <c r="Q1063" i="7"/>
  <c r="P1063" i="7"/>
  <c r="O1063" i="7"/>
  <c r="M1063" i="7"/>
  <c r="L1063" i="7"/>
  <c r="K1063" i="7"/>
  <c r="J1063" i="7"/>
  <c r="I1063" i="7"/>
  <c r="H1063" i="7"/>
  <c r="G1063" i="7"/>
  <c r="F1063" i="7"/>
  <c r="E1063" i="7"/>
  <c r="D1062" i="7"/>
  <c r="B1062" i="7"/>
  <c r="AC1061" i="7"/>
  <c r="D1061" i="7" s="1"/>
  <c r="B1061" i="7"/>
  <c r="AC1060" i="7"/>
  <c r="D1060" i="7" s="1"/>
  <c r="B1060" i="7"/>
  <c r="AC1059" i="7"/>
  <c r="D1059" i="7" s="1"/>
  <c r="B1059" i="7"/>
  <c r="AC1058" i="7"/>
  <c r="D1058" i="7" s="1"/>
  <c r="B1058" i="7"/>
  <c r="AC1057" i="7"/>
  <c r="D1057" i="7" s="1"/>
  <c r="B1057" i="7"/>
  <c r="AC1056" i="7"/>
  <c r="D1056" i="7" s="1"/>
  <c r="B1056" i="7"/>
  <c r="AC1055" i="7"/>
  <c r="D1055" i="7" s="1"/>
  <c r="B1055" i="7"/>
  <c r="AC1054" i="7"/>
  <c r="D1054" i="7" s="1"/>
  <c r="B1054" i="7"/>
  <c r="AC1053" i="7"/>
  <c r="D1053" i="7" s="1"/>
  <c r="B1053" i="7"/>
  <c r="AC1052" i="7"/>
  <c r="D1052" i="7" s="1"/>
  <c r="B1052" i="7"/>
  <c r="AC1051" i="7"/>
  <c r="D1051" i="7" s="1"/>
  <c r="B1051" i="7"/>
  <c r="AT1050" i="7"/>
  <c r="D1050" i="7"/>
  <c r="B1050" i="7"/>
  <c r="AC1049" i="7"/>
  <c r="D1049" i="7" s="1"/>
  <c r="B1049" i="7"/>
  <c r="AC1048" i="7"/>
  <c r="D1048" i="7" s="1"/>
  <c r="B1048" i="7"/>
  <c r="AC1047" i="7"/>
  <c r="D1047" i="7" s="1"/>
  <c r="B1047" i="7"/>
  <c r="AC1046" i="7"/>
  <c r="D1046" i="7" s="1"/>
  <c r="B1046" i="7"/>
  <c r="AC1045" i="7"/>
  <c r="D1045" i="7" s="1"/>
  <c r="B1045" i="7"/>
  <c r="AC1044" i="7"/>
  <c r="D1044" i="7" s="1"/>
  <c r="B1044" i="7"/>
  <c r="AC1043" i="7"/>
  <c r="D1043" i="7" s="1"/>
  <c r="B1043" i="7"/>
  <c r="AC1042" i="7"/>
  <c r="D1042" i="7" s="1"/>
  <c r="B1042" i="7"/>
  <c r="N1041" i="7"/>
  <c r="N1036" i="7" s="1"/>
  <c r="B1041" i="7"/>
  <c r="AC1040" i="7"/>
  <c r="D1040" i="7" s="1"/>
  <c r="B1040" i="7"/>
  <c r="AC1039" i="7"/>
  <c r="D1039" i="7" s="1"/>
  <c r="B1039" i="7"/>
  <c r="AC1038" i="7"/>
  <c r="D1038" i="7" s="1"/>
  <c r="B1038" i="7"/>
  <c r="AC1037" i="7"/>
  <c r="D1037" i="7" s="1"/>
  <c r="B1037" i="7"/>
  <c r="AE1036" i="7"/>
  <c r="AD1036" i="7"/>
  <c r="AB1036" i="7"/>
  <c r="AA1036" i="7"/>
  <c r="Z1036" i="7"/>
  <c r="Y1036" i="7"/>
  <c r="X1036" i="7"/>
  <c r="W1036" i="7"/>
  <c r="V1036" i="7"/>
  <c r="U1036" i="7"/>
  <c r="T1036" i="7"/>
  <c r="S1036" i="7"/>
  <c r="R1036" i="7"/>
  <c r="Q1036" i="7"/>
  <c r="P1036" i="7"/>
  <c r="O1036" i="7"/>
  <c r="M1036" i="7"/>
  <c r="L1036" i="7"/>
  <c r="K1036" i="7"/>
  <c r="J1036" i="7"/>
  <c r="I1036" i="7"/>
  <c r="H1036" i="7"/>
  <c r="G1036" i="7"/>
  <c r="F1036" i="7"/>
  <c r="E1036" i="7"/>
  <c r="AC1035" i="7"/>
  <c r="D1035" i="7" s="1"/>
  <c r="B1035" i="7"/>
  <c r="AC1034" i="7"/>
  <c r="D1034" i="7" s="1"/>
  <c r="B1034" i="7"/>
  <c r="N1033" i="7"/>
  <c r="AC1033" i="7" s="1"/>
  <c r="D1033" i="7" s="1"/>
  <c r="B1033" i="7"/>
  <c r="AC1032" i="7"/>
  <c r="D1032" i="7" s="1"/>
  <c r="B1032" i="7"/>
  <c r="N1031" i="7"/>
  <c r="AC1031" i="7" s="1"/>
  <c r="D1031" i="7" s="1"/>
  <c r="B1031" i="7"/>
  <c r="AC1030" i="7"/>
  <c r="D1030" i="7" s="1"/>
  <c r="B1030" i="7"/>
  <c r="AC1029" i="7"/>
  <c r="D1029" i="7" s="1"/>
  <c r="B1029" i="7"/>
  <c r="AC1028" i="7"/>
  <c r="D1028" i="7" s="1"/>
  <c r="B1028" i="7"/>
  <c r="AC1027" i="7"/>
  <c r="D1027" i="7" s="1"/>
  <c r="B1027" i="7"/>
  <c r="AC1026" i="7"/>
  <c r="D1026" i="7" s="1"/>
  <c r="B1026" i="7"/>
  <c r="AC1025" i="7"/>
  <c r="D1025" i="7" s="1"/>
  <c r="B1025" i="7"/>
  <c r="AC1024" i="7"/>
  <c r="D1024" i="7" s="1"/>
  <c r="B1024" i="7"/>
  <c r="AC1023" i="7"/>
  <c r="D1023" i="7" s="1"/>
  <c r="B1023" i="7"/>
  <c r="AC1022" i="7"/>
  <c r="B1022" i="7"/>
  <c r="AE1021" i="7"/>
  <c r="AD1021" i="7"/>
  <c r="AB1021" i="7"/>
  <c r="AA1021" i="7"/>
  <c r="Z1021" i="7"/>
  <c r="Y1021" i="7"/>
  <c r="X1021" i="7"/>
  <c r="W1021" i="7"/>
  <c r="V1021" i="7"/>
  <c r="U1021" i="7"/>
  <c r="T1021" i="7"/>
  <c r="S1021" i="7"/>
  <c r="R1021" i="7"/>
  <c r="Q1021" i="7"/>
  <c r="P1021" i="7"/>
  <c r="O1021" i="7"/>
  <c r="M1021" i="7"/>
  <c r="L1021" i="7"/>
  <c r="K1021" i="7"/>
  <c r="J1021" i="7"/>
  <c r="I1021" i="7"/>
  <c r="H1021" i="7"/>
  <c r="G1021" i="7"/>
  <c r="F1021" i="7"/>
  <c r="E1021" i="7"/>
  <c r="D1020" i="7"/>
  <c r="B1020" i="7"/>
  <c r="D1019" i="7"/>
  <c r="B1019" i="7"/>
  <c r="D1016" i="7"/>
  <c r="B1016" i="7"/>
  <c r="D1015" i="7"/>
  <c r="B1015" i="7"/>
  <c r="D1014" i="7"/>
  <c r="B1014" i="7"/>
  <c r="D1013" i="7"/>
  <c r="B1013" i="7"/>
  <c r="D1012" i="7"/>
  <c r="B1012" i="7"/>
  <c r="D1011" i="7"/>
  <c r="B1011" i="7"/>
  <c r="D1010" i="7"/>
  <c r="B1010" i="7"/>
  <c r="D1009" i="7"/>
  <c r="B1009" i="7"/>
  <c r="D1008" i="7"/>
  <c r="B1008" i="7"/>
  <c r="D1007" i="7"/>
  <c r="B1007" i="7"/>
  <c r="D1006" i="7"/>
  <c r="B1006" i="7"/>
  <c r="D1005" i="7"/>
  <c r="B1005" i="7"/>
  <c r="D1004" i="7"/>
  <c r="B1004" i="7"/>
  <c r="D1003" i="7"/>
  <c r="B1003" i="7"/>
  <c r="D1002" i="7"/>
  <c r="B1002" i="7"/>
  <c r="D1001" i="7"/>
  <c r="B1001" i="7"/>
  <c r="D1000" i="7"/>
  <c r="B1000" i="7"/>
  <c r="D999" i="7"/>
  <c r="B999" i="7"/>
  <c r="D998" i="7"/>
  <c r="B998" i="7"/>
  <c r="D997" i="7"/>
  <c r="B997" i="7"/>
  <c r="D996" i="7"/>
  <c r="B996" i="7"/>
  <c r="D995" i="7"/>
  <c r="B995" i="7"/>
  <c r="D994" i="7"/>
  <c r="B994" i="7"/>
  <c r="D993" i="7"/>
  <c r="B993" i="7"/>
  <c r="D992" i="7"/>
  <c r="B992" i="7"/>
  <c r="D991" i="7"/>
  <c r="B991" i="7"/>
  <c r="D990" i="7"/>
  <c r="B990" i="7"/>
  <c r="D989" i="7"/>
  <c r="B989" i="7"/>
  <c r="D988" i="7"/>
  <c r="B988" i="7"/>
  <c r="D987" i="7"/>
  <c r="B987" i="7"/>
  <c r="D986" i="7"/>
  <c r="B986" i="7"/>
  <c r="D985" i="7"/>
  <c r="B985" i="7"/>
  <c r="D984" i="7"/>
  <c r="B984" i="7"/>
  <c r="D983" i="7"/>
  <c r="B983" i="7"/>
  <c r="D982" i="7"/>
  <c r="B982" i="7"/>
  <c r="D981" i="7"/>
  <c r="B981" i="7"/>
  <c r="D980" i="7"/>
  <c r="B980" i="7"/>
  <c r="D979" i="7"/>
  <c r="B979" i="7"/>
  <c r="D978" i="7"/>
  <c r="B978" i="7"/>
  <c r="D977" i="7"/>
  <c r="B977" i="7"/>
  <c r="D976" i="7"/>
  <c r="B976" i="7"/>
  <c r="D975" i="7"/>
  <c r="B975" i="7"/>
  <c r="D974" i="7"/>
  <c r="B974" i="7"/>
  <c r="D973" i="7"/>
  <c r="B973" i="7"/>
  <c r="D972" i="7"/>
  <c r="B972" i="7"/>
  <c r="D971" i="7"/>
  <c r="B971" i="7"/>
  <c r="D970" i="7"/>
  <c r="B970" i="7"/>
  <c r="D969" i="7"/>
  <c r="B969" i="7"/>
  <c r="D968" i="7"/>
  <c r="B968" i="7"/>
  <c r="D967" i="7"/>
  <c r="B967" i="7"/>
  <c r="D966" i="7"/>
  <c r="B966" i="7"/>
  <c r="D965" i="7"/>
  <c r="B965" i="7"/>
  <c r="D964" i="7"/>
  <c r="B964" i="7"/>
  <c r="D963" i="7"/>
  <c r="B963" i="7"/>
  <c r="AE962" i="7"/>
  <c r="AD962" i="7"/>
  <c r="AC962" i="7"/>
  <c r="AB962" i="7"/>
  <c r="AA962" i="7"/>
  <c r="Z962" i="7"/>
  <c r="Y962" i="7"/>
  <c r="X962" i="7"/>
  <c r="W962" i="7"/>
  <c r="V962" i="7"/>
  <c r="U962" i="7"/>
  <c r="T962" i="7"/>
  <c r="S962" i="7"/>
  <c r="R962" i="7"/>
  <c r="Q962" i="7"/>
  <c r="P962" i="7"/>
  <c r="O962" i="7"/>
  <c r="N962" i="7"/>
  <c r="M962" i="7"/>
  <c r="L962" i="7"/>
  <c r="K962" i="7"/>
  <c r="J962" i="7"/>
  <c r="I962" i="7"/>
  <c r="H962" i="7"/>
  <c r="G962" i="7"/>
  <c r="F962" i="7"/>
  <c r="E962" i="7"/>
  <c r="AC960" i="7"/>
  <c r="D960" i="7" s="1"/>
  <c r="D959" i="7" s="1"/>
  <c r="B960" i="7"/>
  <c r="AE959" i="7"/>
  <c r="AD959" i="7"/>
  <c r="AB959" i="7"/>
  <c r="AA959" i="7"/>
  <c r="Z959" i="7"/>
  <c r="Y959" i="7"/>
  <c r="X959" i="7"/>
  <c r="W959" i="7"/>
  <c r="V959" i="7"/>
  <c r="U959" i="7"/>
  <c r="T959" i="7"/>
  <c r="S959" i="7"/>
  <c r="R959" i="7"/>
  <c r="Q959" i="7"/>
  <c r="P959" i="7"/>
  <c r="O959" i="7"/>
  <c r="N959" i="7"/>
  <c r="M959" i="7"/>
  <c r="L959" i="7"/>
  <c r="K959" i="7"/>
  <c r="J959" i="7"/>
  <c r="I959" i="7"/>
  <c r="H959" i="7"/>
  <c r="G959" i="7"/>
  <c r="F959" i="7"/>
  <c r="E959" i="7"/>
  <c r="AC958" i="7"/>
  <c r="B958" i="7"/>
  <c r="AE957" i="7"/>
  <c r="AD957" i="7"/>
  <c r="AB957" i="7"/>
  <c r="AA957" i="7"/>
  <c r="Z957" i="7"/>
  <c r="Y957" i="7"/>
  <c r="X957" i="7"/>
  <c r="W957" i="7"/>
  <c r="V957" i="7"/>
  <c r="U957" i="7"/>
  <c r="T957" i="7"/>
  <c r="S957" i="7"/>
  <c r="R957" i="7"/>
  <c r="Q957" i="7"/>
  <c r="P957" i="7"/>
  <c r="O957" i="7"/>
  <c r="N957" i="7"/>
  <c r="M957" i="7"/>
  <c r="L957" i="7"/>
  <c r="K957" i="7"/>
  <c r="J957" i="7"/>
  <c r="I957" i="7"/>
  <c r="H957" i="7"/>
  <c r="G957" i="7"/>
  <c r="F957" i="7"/>
  <c r="E957" i="7"/>
  <c r="AC956" i="7"/>
  <c r="D956" i="7" s="1"/>
  <c r="B956" i="7"/>
  <c r="AC955" i="7"/>
  <c r="B955" i="7"/>
  <c r="AE954" i="7"/>
  <c r="AD954" i="7"/>
  <c r="AB954" i="7"/>
  <c r="AA954" i="7"/>
  <c r="Z954" i="7"/>
  <c r="Y954" i="7"/>
  <c r="X954" i="7"/>
  <c r="W954" i="7"/>
  <c r="V954" i="7"/>
  <c r="U954" i="7"/>
  <c r="T954" i="7"/>
  <c r="S954" i="7"/>
  <c r="R954" i="7"/>
  <c r="Q954" i="7"/>
  <c r="P954" i="7"/>
  <c r="O954" i="7"/>
  <c r="N954" i="7"/>
  <c r="M954" i="7"/>
  <c r="L954" i="7"/>
  <c r="K954" i="7"/>
  <c r="J954" i="7"/>
  <c r="I954" i="7"/>
  <c r="H954" i="7"/>
  <c r="G954" i="7"/>
  <c r="F954" i="7"/>
  <c r="E954" i="7"/>
  <c r="AC953" i="7"/>
  <c r="D953" i="7" s="1"/>
  <c r="D952" i="7" s="1"/>
  <c r="B953" i="7"/>
  <c r="AE952" i="7"/>
  <c r="AD952" i="7"/>
  <c r="AB952" i="7"/>
  <c r="AA952" i="7"/>
  <c r="Z952" i="7"/>
  <c r="Y952" i="7"/>
  <c r="X952" i="7"/>
  <c r="W952" i="7"/>
  <c r="V952" i="7"/>
  <c r="U952" i="7"/>
  <c r="T952" i="7"/>
  <c r="S952" i="7"/>
  <c r="R952" i="7"/>
  <c r="Q952" i="7"/>
  <c r="P952" i="7"/>
  <c r="O952" i="7"/>
  <c r="N952" i="7"/>
  <c r="M952" i="7"/>
  <c r="L952" i="7"/>
  <c r="K952" i="7"/>
  <c r="J952" i="7"/>
  <c r="I952" i="7"/>
  <c r="H952" i="7"/>
  <c r="G952" i="7"/>
  <c r="F952" i="7"/>
  <c r="E952" i="7"/>
  <c r="AC951" i="7"/>
  <c r="D951" i="7" s="1"/>
  <c r="B951" i="7"/>
  <c r="N950" i="7"/>
  <c r="AC950" i="7" s="1"/>
  <c r="D950" i="7" s="1"/>
  <c r="B950" i="7"/>
  <c r="AC949" i="7"/>
  <c r="D949" i="7" s="1"/>
  <c r="B949" i="7"/>
  <c r="AE948" i="7"/>
  <c r="AD948" i="7"/>
  <c r="AB948" i="7"/>
  <c r="AA948" i="7"/>
  <c r="Z948" i="7"/>
  <c r="Y948" i="7"/>
  <c r="X948" i="7"/>
  <c r="W948" i="7"/>
  <c r="V948" i="7"/>
  <c r="U948" i="7"/>
  <c r="T948" i="7"/>
  <c r="S948" i="7"/>
  <c r="R948" i="7"/>
  <c r="Q948" i="7"/>
  <c r="P948" i="7"/>
  <c r="O948" i="7"/>
  <c r="M948" i="7"/>
  <c r="L948" i="7"/>
  <c r="K948" i="7"/>
  <c r="J948" i="7"/>
  <c r="I948" i="7"/>
  <c r="H948" i="7"/>
  <c r="G948" i="7"/>
  <c r="F948" i="7"/>
  <c r="E948" i="7"/>
  <c r="AC947" i="7"/>
  <c r="B947" i="7"/>
  <c r="AE946" i="7"/>
  <c r="AD946" i="7"/>
  <c r="AB946" i="7"/>
  <c r="AA946" i="7"/>
  <c r="Z946" i="7"/>
  <c r="Y946" i="7"/>
  <c r="X946" i="7"/>
  <c r="W946" i="7"/>
  <c r="V946" i="7"/>
  <c r="U946" i="7"/>
  <c r="T946" i="7"/>
  <c r="S946" i="7"/>
  <c r="R946" i="7"/>
  <c r="Q946" i="7"/>
  <c r="P946" i="7"/>
  <c r="O946" i="7"/>
  <c r="N946" i="7"/>
  <c r="M946" i="7"/>
  <c r="L946" i="7"/>
  <c r="K946" i="7"/>
  <c r="J946" i="7"/>
  <c r="I946" i="7"/>
  <c r="H946" i="7"/>
  <c r="G946" i="7"/>
  <c r="F946" i="7"/>
  <c r="E946" i="7"/>
  <c r="AC945" i="7"/>
  <c r="D945" i="7" s="1"/>
  <c r="D944" i="7" s="1"/>
  <c r="B945" i="7"/>
  <c r="AE944" i="7"/>
  <c r="AD944" i="7"/>
  <c r="AB944" i="7"/>
  <c r="AA944" i="7"/>
  <c r="Z944" i="7"/>
  <c r="Y944" i="7"/>
  <c r="X944" i="7"/>
  <c r="W944" i="7"/>
  <c r="V944" i="7"/>
  <c r="U944" i="7"/>
  <c r="T944" i="7"/>
  <c r="S944" i="7"/>
  <c r="R944" i="7"/>
  <c r="Q944" i="7"/>
  <c r="P944" i="7"/>
  <c r="O944" i="7"/>
  <c r="N944" i="7"/>
  <c r="M944" i="7"/>
  <c r="L944" i="7"/>
  <c r="K944" i="7"/>
  <c r="J944" i="7"/>
  <c r="I944" i="7"/>
  <c r="H944" i="7"/>
  <c r="G944" i="7"/>
  <c r="F944" i="7"/>
  <c r="E944" i="7"/>
  <c r="AC943" i="7"/>
  <c r="D943" i="7" s="1"/>
  <c r="D942" i="7" s="1"/>
  <c r="B943" i="7"/>
  <c r="AE942" i="7"/>
  <c r="AD942" i="7"/>
  <c r="AB942" i="7"/>
  <c r="AA942" i="7"/>
  <c r="Z942" i="7"/>
  <c r="Y942" i="7"/>
  <c r="X942" i="7"/>
  <c r="W942" i="7"/>
  <c r="V942" i="7"/>
  <c r="U942" i="7"/>
  <c r="T942" i="7"/>
  <c r="S942" i="7"/>
  <c r="R942" i="7"/>
  <c r="Q942" i="7"/>
  <c r="P942" i="7"/>
  <c r="O942" i="7"/>
  <c r="N942" i="7"/>
  <c r="M942" i="7"/>
  <c r="L942" i="7"/>
  <c r="K942" i="7"/>
  <c r="J942" i="7"/>
  <c r="I942" i="7"/>
  <c r="H942" i="7"/>
  <c r="G942" i="7"/>
  <c r="F942" i="7"/>
  <c r="E942" i="7"/>
  <c r="AC939" i="7"/>
  <c r="B939" i="7"/>
  <c r="AT936" i="7"/>
  <c r="AC936" i="7"/>
  <c r="D936" i="7" s="1"/>
  <c r="B936" i="7"/>
  <c r="AC935" i="7"/>
  <c r="B935" i="7"/>
  <c r="AC933" i="7"/>
  <c r="D933" i="7" s="1"/>
  <c r="D932" i="7" s="1"/>
  <c r="CB932" i="7" s="1"/>
  <c r="B933" i="7"/>
  <c r="AE932" i="7"/>
  <c r="AD932" i="7"/>
  <c r="AB932" i="7"/>
  <c r="AA932" i="7"/>
  <c r="Z932" i="7"/>
  <c r="Y932" i="7"/>
  <c r="X932" i="7"/>
  <c r="W932" i="7"/>
  <c r="V932" i="7"/>
  <c r="U932" i="7"/>
  <c r="T932" i="7"/>
  <c r="S932" i="7"/>
  <c r="R932" i="7"/>
  <c r="Q932" i="7"/>
  <c r="P932" i="7"/>
  <c r="O932" i="7"/>
  <c r="N932" i="7"/>
  <c r="M932" i="7"/>
  <c r="L932" i="7"/>
  <c r="K932" i="7"/>
  <c r="J932" i="7"/>
  <c r="I932" i="7"/>
  <c r="H932" i="7"/>
  <c r="G932" i="7"/>
  <c r="F932" i="7"/>
  <c r="E932" i="7"/>
  <c r="AC931" i="7"/>
  <c r="B931" i="7"/>
  <c r="AE930" i="7"/>
  <c r="AD930" i="7"/>
  <c r="AB930" i="7"/>
  <c r="AA930" i="7"/>
  <c r="Z930" i="7"/>
  <c r="Y930" i="7"/>
  <c r="X930" i="7"/>
  <c r="W930" i="7"/>
  <c r="V930" i="7"/>
  <c r="U930" i="7"/>
  <c r="T930" i="7"/>
  <c r="S930" i="7"/>
  <c r="R930" i="7"/>
  <c r="Q930" i="7"/>
  <c r="P930" i="7"/>
  <c r="O930" i="7"/>
  <c r="N930" i="7"/>
  <c r="M930" i="7"/>
  <c r="L930" i="7"/>
  <c r="K930" i="7"/>
  <c r="J930" i="7"/>
  <c r="I930" i="7"/>
  <c r="H930" i="7"/>
  <c r="G930" i="7"/>
  <c r="F930" i="7"/>
  <c r="E930" i="7"/>
  <c r="AC929" i="7"/>
  <c r="D929" i="7" s="1"/>
  <c r="D928" i="7" s="1"/>
  <c r="B929" i="7"/>
  <c r="AE928" i="7"/>
  <c r="AD928" i="7"/>
  <c r="AB928" i="7"/>
  <c r="AA928" i="7"/>
  <c r="Z928" i="7"/>
  <c r="Y928" i="7"/>
  <c r="X928" i="7"/>
  <c r="W928" i="7"/>
  <c r="V928" i="7"/>
  <c r="U928" i="7"/>
  <c r="T928" i="7"/>
  <c r="S928" i="7"/>
  <c r="R928" i="7"/>
  <c r="Q928" i="7"/>
  <c r="P928" i="7"/>
  <c r="O928" i="7"/>
  <c r="N928" i="7"/>
  <c r="M928" i="7"/>
  <c r="L928" i="7"/>
  <c r="K928" i="7"/>
  <c r="J928" i="7"/>
  <c r="I928" i="7"/>
  <c r="H928" i="7"/>
  <c r="G928" i="7"/>
  <c r="F928" i="7"/>
  <c r="E928" i="7"/>
  <c r="N927" i="7"/>
  <c r="N926" i="7" s="1"/>
  <c r="B927" i="7"/>
  <c r="AE926" i="7"/>
  <c r="AD926" i="7"/>
  <c r="AB926" i="7"/>
  <c r="AA926" i="7"/>
  <c r="Z926" i="7"/>
  <c r="Y926" i="7"/>
  <c r="X926" i="7"/>
  <c r="W926" i="7"/>
  <c r="V926" i="7"/>
  <c r="U926" i="7"/>
  <c r="T926" i="7"/>
  <c r="S926" i="7"/>
  <c r="R926" i="7"/>
  <c r="Q926" i="7"/>
  <c r="P926" i="7"/>
  <c r="O926" i="7"/>
  <c r="M926" i="7"/>
  <c r="L926" i="7"/>
  <c r="K926" i="7"/>
  <c r="J926" i="7"/>
  <c r="I926" i="7"/>
  <c r="H926" i="7"/>
  <c r="G926" i="7"/>
  <c r="F926" i="7"/>
  <c r="E926" i="7"/>
  <c r="AC920" i="7"/>
  <c r="D920" i="7" s="1"/>
  <c r="D919" i="7" s="1"/>
  <c r="B920" i="7"/>
  <c r="AE919" i="7"/>
  <c r="AD919" i="7"/>
  <c r="AB919" i="7"/>
  <c r="AA919" i="7"/>
  <c r="Z919" i="7"/>
  <c r="Y919" i="7"/>
  <c r="X919" i="7"/>
  <c r="W919" i="7"/>
  <c r="V919" i="7"/>
  <c r="U919" i="7"/>
  <c r="T919" i="7"/>
  <c r="S919" i="7"/>
  <c r="R919" i="7"/>
  <c r="Q919" i="7"/>
  <c r="P919" i="7"/>
  <c r="O919" i="7"/>
  <c r="N919" i="7"/>
  <c r="M919" i="7"/>
  <c r="L919" i="7"/>
  <c r="K919" i="7"/>
  <c r="J919" i="7"/>
  <c r="I919" i="7"/>
  <c r="H919" i="7"/>
  <c r="G919" i="7"/>
  <c r="F919" i="7"/>
  <c r="E919" i="7"/>
  <c r="AC918" i="7"/>
  <c r="D918" i="7" s="1"/>
  <c r="B918" i="7"/>
  <c r="AC917" i="7"/>
  <c r="D917" i="7" s="1"/>
  <c r="B917" i="7"/>
  <c r="AE916" i="7"/>
  <c r="AD916" i="7"/>
  <c r="AB916" i="7"/>
  <c r="AA916" i="7"/>
  <c r="Z916" i="7"/>
  <c r="Y916" i="7"/>
  <c r="X916" i="7"/>
  <c r="W916" i="7"/>
  <c r="V916" i="7"/>
  <c r="U916" i="7"/>
  <c r="T916" i="7"/>
  <c r="S916" i="7"/>
  <c r="R916" i="7"/>
  <c r="Q916" i="7"/>
  <c r="P916" i="7"/>
  <c r="O916" i="7"/>
  <c r="N916" i="7"/>
  <c r="M916" i="7"/>
  <c r="L916" i="7"/>
  <c r="K916" i="7"/>
  <c r="J916" i="7"/>
  <c r="I916" i="7"/>
  <c r="H916" i="7"/>
  <c r="G916" i="7"/>
  <c r="F916" i="7"/>
  <c r="E916" i="7"/>
  <c r="AC915" i="7"/>
  <c r="D915" i="7" s="1"/>
  <c r="B915" i="7"/>
  <c r="AC914" i="7"/>
  <c r="D914" i="7" s="1"/>
  <c r="B914" i="7"/>
  <c r="AC913" i="7"/>
  <c r="D913" i="7" s="1"/>
  <c r="B913" i="7"/>
  <c r="AC912" i="7"/>
  <c r="D912" i="7" s="1"/>
  <c r="B912" i="7"/>
  <c r="AC911" i="7"/>
  <c r="D911" i="7" s="1"/>
  <c r="B911" i="7"/>
  <c r="AE910" i="7"/>
  <c r="AD910" i="7"/>
  <c r="AB910" i="7"/>
  <c r="AA910" i="7"/>
  <c r="Z910" i="7"/>
  <c r="Y910" i="7"/>
  <c r="X910" i="7"/>
  <c r="W910" i="7"/>
  <c r="V910" i="7"/>
  <c r="U910" i="7"/>
  <c r="T910" i="7"/>
  <c r="S910" i="7"/>
  <c r="R910" i="7"/>
  <c r="Q910" i="7"/>
  <c r="P910" i="7"/>
  <c r="O910" i="7"/>
  <c r="N910" i="7"/>
  <c r="M910" i="7"/>
  <c r="L910" i="7"/>
  <c r="K910" i="7"/>
  <c r="J910" i="7"/>
  <c r="I910" i="7"/>
  <c r="H910" i="7"/>
  <c r="G910" i="7"/>
  <c r="F910" i="7"/>
  <c r="E910" i="7"/>
  <c r="AC909" i="7"/>
  <c r="D909" i="7" s="1"/>
  <c r="D908" i="7" s="1"/>
  <c r="B909" i="7"/>
  <c r="AE908" i="7"/>
  <c r="AD908" i="7"/>
  <c r="AB908" i="7"/>
  <c r="AA908" i="7"/>
  <c r="Z908" i="7"/>
  <c r="Y908" i="7"/>
  <c r="X908" i="7"/>
  <c r="W908" i="7"/>
  <c r="V908" i="7"/>
  <c r="U908" i="7"/>
  <c r="T908" i="7"/>
  <c r="S908" i="7"/>
  <c r="R908" i="7"/>
  <c r="Q908" i="7"/>
  <c r="P908" i="7"/>
  <c r="O908" i="7"/>
  <c r="N908" i="7"/>
  <c r="M908" i="7"/>
  <c r="L908" i="7"/>
  <c r="K908" i="7"/>
  <c r="J908" i="7"/>
  <c r="I908" i="7"/>
  <c r="H908" i="7"/>
  <c r="G908" i="7"/>
  <c r="F908" i="7"/>
  <c r="E908" i="7"/>
  <c r="AC907" i="7"/>
  <c r="B907" i="7"/>
  <c r="N904" i="7"/>
  <c r="N901" i="7" s="1"/>
  <c r="B904" i="7"/>
  <c r="AC903" i="7"/>
  <c r="D903" i="7" s="1"/>
  <c r="B903" i="7"/>
  <c r="AC902" i="7"/>
  <c r="D902" i="7" s="1"/>
  <c r="B902" i="7"/>
  <c r="AE901" i="7"/>
  <c r="AD901" i="7"/>
  <c r="AB901" i="7"/>
  <c r="AA901" i="7"/>
  <c r="Z901" i="7"/>
  <c r="Y901" i="7"/>
  <c r="X901" i="7"/>
  <c r="W901" i="7"/>
  <c r="V901" i="7"/>
  <c r="U901" i="7"/>
  <c r="T901" i="7"/>
  <c r="S901" i="7"/>
  <c r="R901" i="7"/>
  <c r="Q901" i="7"/>
  <c r="P901" i="7"/>
  <c r="O901" i="7"/>
  <c r="M901" i="7"/>
  <c r="L901" i="7"/>
  <c r="K901" i="7"/>
  <c r="J901" i="7"/>
  <c r="I901" i="7"/>
  <c r="H901" i="7"/>
  <c r="G901" i="7"/>
  <c r="F901" i="7"/>
  <c r="E901" i="7"/>
  <c r="AC898" i="7"/>
  <c r="D898" i="7" s="1"/>
  <c r="D897" i="7" s="1"/>
  <c r="B898" i="7"/>
  <c r="AE897" i="7"/>
  <c r="AD897" i="7"/>
  <c r="AB897" i="7"/>
  <c r="AA897" i="7"/>
  <c r="Z897" i="7"/>
  <c r="Y897" i="7"/>
  <c r="X897" i="7"/>
  <c r="W897" i="7"/>
  <c r="V897" i="7"/>
  <c r="U897" i="7"/>
  <c r="T897" i="7"/>
  <c r="S897" i="7"/>
  <c r="R897" i="7"/>
  <c r="Q897" i="7"/>
  <c r="P897" i="7"/>
  <c r="O897" i="7"/>
  <c r="N897" i="7"/>
  <c r="M897" i="7"/>
  <c r="L897" i="7"/>
  <c r="K897" i="7"/>
  <c r="J897" i="7"/>
  <c r="I897" i="7"/>
  <c r="H897" i="7"/>
  <c r="G897" i="7"/>
  <c r="F897" i="7"/>
  <c r="E897" i="7"/>
  <c r="AC896" i="7"/>
  <c r="D896" i="7" s="1"/>
  <c r="D895" i="7" s="1"/>
  <c r="B896" i="7"/>
  <c r="AE895" i="7"/>
  <c r="AD895" i="7"/>
  <c r="AB895" i="7"/>
  <c r="AA895" i="7"/>
  <c r="Z895" i="7"/>
  <c r="Y895" i="7"/>
  <c r="X895" i="7"/>
  <c r="W895" i="7"/>
  <c r="V895" i="7"/>
  <c r="U895" i="7"/>
  <c r="T895" i="7"/>
  <c r="S895" i="7"/>
  <c r="R895" i="7"/>
  <c r="Q895" i="7"/>
  <c r="P895" i="7"/>
  <c r="O895" i="7"/>
  <c r="N895" i="7"/>
  <c r="M895" i="7"/>
  <c r="L895" i="7"/>
  <c r="K895" i="7"/>
  <c r="J895" i="7"/>
  <c r="I895" i="7"/>
  <c r="H895" i="7"/>
  <c r="G895" i="7"/>
  <c r="F895" i="7"/>
  <c r="E895" i="7"/>
  <c r="AC894" i="7"/>
  <c r="D894" i="7" s="1"/>
  <c r="D893" i="7" s="1"/>
  <c r="B894" i="7"/>
  <c r="AE893" i="7"/>
  <c r="AD893" i="7"/>
  <c r="AB893" i="7"/>
  <c r="AA893" i="7"/>
  <c r="Z893" i="7"/>
  <c r="Y893" i="7"/>
  <c r="X893" i="7"/>
  <c r="W893" i="7"/>
  <c r="V893" i="7"/>
  <c r="U893" i="7"/>
  <c r="T893" i="7"/>
  <c r="S893" i="7"/>
  <c r="R893" i="7"/>
  <c r="Q893" i="7"/>
  <c r="P893" i="7"/>
  <c r="O893" i="7"/>
  <c r="N893" i="7"/>
  <c r="M893" i="7"/>
  <c r="L893" i="7"/>
  <c r="K893" i="7"/>
  <c r="J893" i="7"/>
  <c r="I893" i="7"/>
  <c r="H893" i="7"/>
  <c r="G893" i="7"/>
  <c r="F893" i="7"/>
  <c r="E893" i="7"/>
  <c r="AC892" i="7"/>
  <c r="D892" i="7" s="1"/>
  <c r="D891" i="7" s="1"/>
  <c r="B892" i="7"/>
  <c r="AE891" i="7"/>
  <c r="AD891" i="7"/>
  <c r="AB891" i="7"/>
  <c r="AA891" i="7"/>
  <c r="Z891" i="7"/>
  <c r="Y891" i="7"/>
  <c r="X891" i="7"/>
  <c r="W891" i="7"/>
  <c r="V891" i="7"/>
  <c r="U891" i="7"/>
  <c r="T891" i="7"/>
  <c r="S891" i="7"/>
  <c r="R891" i="7"/>
  <c r="Q891" i="7"/>
  <c r="P891" i="7"/>
  <c r="O891" i="7"/>
  <c r="N891" i="7"/>
  <c r="M891" i="7"/>
  <c r="L891" i="7"/>
  <c r="K891" i="7"/>
  <c r="J891" i="7"/>
  <c r="I891" i="7"/>
  <c r="H891" i="7"/>
  <c r="G891" i="7"/>
  <c r="F891" i="7"/>
  <c r="E891" i="7"/>
  <c r="AC890" i="7"/>
  <c r="D890" i="7" s="1"/>
  <c r="D889" i="7" s="1"/>
  <c r="B890" i="7"/>
  <c r="AE889" i="7"/>
  <c r="AD889" i="7"/>
  <c r="AB889" i="7"/>
  <c r="AA889" i="7"/>
  <c r="Z889" i="7"/>
  <c r="Y889" i="7"/>
  <c r="X889" i="7"/>
  <c r="W889" i="7"/>
  <c r="V889" i="7"/>
  <c r="U889" i="7"/>
  <c r="T889" i="7"/>
  <c r="S889" i="7"/>
  <c r="R889" i="7"/>
  <c r="Q889" i="7"/>
  <c r="P889" i="7"/>
  <c r="O889" i="7"/>
  <c r="N889" i="7"/>
  <c r="M889" i="7"/>
  <c r="L889" i="7"/>
  <c r="K889" i="7"/>
  <c r="J889" i="7"/>
  <c r="I889" i="7"/>
  <c r="H889" i="7"/>
  <c r="G889" i="7"/>
  <c r="F889" i="7"/>
  <c r="E889" i="7"/>
  <c r="AC888" i="7"/>
  <c r="D888" i="7" s="1"/>
  <c r="D887" i="7" s="1"/>
  <c r="B888" i="7"/>
  <c r="AE887" i="7"/>
  <c r="AD887" i="7"/>
  <c r="AB887" i="7"/>
  <c r="AA887" i="7"/>
  <c r="Z887" i="7"/>
  <c r="Y887" i="7"/>
  <c r="X887" i="7"/>
  <c r="W887" i="7"/>
  <c r="V887" i="7"/>
  <c r="U887" i="7"/>
  <c r="T887" i="7"/>
  <c r="S887" i="7"/>
  <c r="R887" i="7"/>
  <c r="Q887" i="7"/>
  <c r="P887" i="7"/>
  <c r="O887" i="7"/>
  <c r="N887" i="7"/>
  <c r="M887" i="7"/>
  <c r="L887" i="7"/>
  <c r="K887" i="7"/>
  <c r="J887" i="7"/>
  <c r="I887" i="7"/>
  <c r="H887" i="7"/>
  <c r="G887" i="7"/>
  <c r="F887" i="7"/>
  <c r="E887" i="7"/>
  <c r="AC886" i="7"/>
  <c r="D886" i="7" s="1"/>
  <c r="D885" i="7" s="1"/>
  <c r="B886" i="7"/>
  <c r="AE885" i="7"/>
  <c r="AD885" i="7"/>
  <c r="AB885" i="7"/>
  <c r="AA885" i="7"/>
  <c r="Z885" i="7"/>
  <c r="Y885" i="7"/>
  <c r="X885" i="7"/>
  <c r="W885" i="7"/>
  <c r="V885" i="7"/>
  <c r="U885" i="7"/>
  <c r="T885" i="7"/>
  <c r="S885" i="7"/>
  <c r="R885" i="7"/>
  <c r="Q885" i="7"/>
  <c r="P885" i="7"/>
  <c r="O885" i="7"/>
  <c r="N885" i="7"/>
  <c r="M885" i="7"/>
  <c r="L885" i="7"/>
  <c r="K885" i="7"/>
  <c r="J885" i="7"/>
  <c r="I885" i="7"/>
  <c r="H885" i="7"/>
  <c r="G885" i="7"/>
  <c r="F885" i="7"/>
  <c r="E885" i="7"/>
  <c r="AC884" i="7"/>
  <c r="D884" i="7" s="1"/>
  <c r="B884" i="7"/>
  <c r="AC883" i="7"/>
  <c r="D883" i="7" s="1"/>
  <c r="B883" i="7"/>
  <c r="AE882" i="7"/>
  <c r="AD882" i="7"/>
  <c r="AB882" i="7"/>
  <c r="AA882" i="7"/>
  <c r="Z882" i="7"/>
  <c r="Y882" i="7"/>
  <c r="X882" i="7"/>
  <c r="W882" i="7"/>
  <c r="V882" i="7"/>
  <c r="U882" i="7"/>
  <c r="T882" i="7"/>
  <c r="S882" i="7"/>
  <c r="R882" i="7"/>
  <c r="Q882" i="7"/>
  <c r="P882" i="7"/>
  <c r="O882" i="7"/>
  <c r="N882" i="7"/>
  <c r="M882" i="7"/>
  <c r="L882" i="7"/>
  <c r="K882" i="7"/>
  <c r="J882" i="7"/>
  <c r="I882" i="7"/>
  <c r="H882" i="7"/>
  <c r="G882" i="7"/>
  <c r="F882" i="7"/>
  <c r="E882" i="7"/>
  <c r="AC879" i="7"/>
  <c r="D879" i="7" s="1"/>
  <c r="B879" i="7"/>
  <c r="AC878" i="7"/>
  <c r="D878" i="7" s="1"/>
  <c r="B878" i="7"/>
  <c r="AC877" i="7"/>
  <c r="D877" i="7" s="1"/>
  <c r="B877" i="7"/>
  <c r="AE876" i="7"/>
  <c r="AD876" i="7"/>
  <c r="AB876" i="7"/>
  <c r="AA876" i="7"/>
  <c r="Z876" i="7"/>
  <c r="Y876" i="7"/>
  <c r="X876" i="7"/>
  <c r="W876" i="7"/>
  <c r="V876" i="7"/>
  <c r="U876" i="7"/>
  <c r="T876" i="7"/>
  <c r="S876" i="7"/>
  <c r="R876" i="7"/>
  <c r="Q876" i="7"/>
  <c r="P876" i="7"/>
  <c r="O876" i="7"/>
  <c r="N876" i="7"/>
  <c r="M876" i="7"/>
  <c r="L876" i="7"/>
  <c r="K876" i="7"/>
  <c r="J876" i="7"/>
  <c r="I876" i="7"/>
  <c r="H876" i="7"/>
  <c r="G876" i="7"/>
  <c r="F876" i="7"/>
  <c r="E876" i="7"/>
  <c r="AC875" i="7"/>
  <c r="D875" i="7" s="1"/>
  <c r="D874" i="7" s="1"/>
  <c r="B875" i="7"/>
  <c r="AE874" i="7"/>
  <c r="AD874" i="7"/>
  <c r="AB874" i="7"/>
  <c r="AA874" i="7"/>
  <c r="Z874" i="7"/>
  <c r="Y874" i="7"/>
  <c r="X874" i="7"/>
  <c r="W874" i="7"/>
  <c r="V874" i="7"/>
  <c r="U874" i="7"/>
  <c r="T874" i="7"/>
  <c r="S874" i="7"/>
  <c r="R874" i="7"/>
  <c r="Q874" i="7"/>
  <c r="P874" i="7"/>
  <c r="O874" i="7"/>
  <c r="N874" i="7"/>
  <c r="M874" i="7"/>
  <c r="L874" i="7"/>
  <c r="K874" i="7"/>
  <c r="J874" i="7"/>
  <c r="I874" i="7"/>
  <c r="H874" i="7"/>
  <c r="G874" i="7"/>
  <c r="F874" i="7"/>
  <c r="E874" i="7"/>
  <c r="AC873" i="7"/>
  <c r="D873" i="7" s="1"/>
  <c r="D872" i="7" s="1"/>
  <c r="B873" i="7"/>
  <c r="AE872" i="7"/>
  <c r="AD872" i="7"/>
  <c r="AB872" i="7"/>
  <c r="AA872" i="7"/>
  <c r="Z872" i="7"/>
  <c r="Y872" i="7"/>
  <c r="X872" i="7"/>
  <c r="W872" i="7"/>
  <c r="V872" i="7"/>
  <c r="U872" i="7"/>
  <c r="T872" i="7"/>
  <c r="S872" i="7"/>
  <c r="R872" i="7"/>
  <c r="Q872" i="7"/>
  <c r="P872" i="7"/>
  <c r="O872" i="7"/>
  <c r="N872" i="7"/>
  <c r="M872" i="7"/>
  <c r="L872" i="7"/>
  <c r="K872" i="7"/>
  <c r="J872" i="7"/>
  <c r="I872" i="7"/>
  <c r="H872" i="7"/>
  <c r="G872" i="7"/>
  <c r="F872" i="7"/>
  <c r="E872" i="7"/>
  <c r="AC871" i="7"/>
  <c r="D871" i="7" s="1"/>
  <c r="B871" i="7"/>
  <c r="AC870" i="7"/>
  <c r="D870" i="7" s="1"/>
  <c r="B870" i="7"/>
  <c r="AE869" i="7"/>
  <c r="AD869" i="7"/>
  <c r="AB869" i="7"/>
  <c r="AA869" i="7"/>
  <c r="Z869" i="7"/>
  <c r="Y869" i="7"/>
  <c r="X869" i="7"/>
  <c r="W869" i="7"/>
  <c r="V869" i="7"/>
  <c r="U869" i="7"/>
  <c r="T869" i="7"/>
  <c r="S869" i="7"/>
  <c r="R869" i="7"/>
  <c r="Q869" i="7"/>
  <c r="P869" i="7"/>
  <c r="O869" i="7"/>
  <c r="N869" i="7"/>
  <c r="M869" i="7"/>
  <c r="L869" i="7"/>
  <c r="K869" i="7"/>
  <c r="J869" i="7"/>
  <c r="I869" i="7"/>
  <c r="H869" i="7"/>
  <c r="G869" i="7"/>
  <c r="F869" i="7"/>
  <c r="E869" i="7"/>
  <c r="AC868" i="7"/>
  <c r="B868" i="7"/>
  <c r="AE867" i="7"/>
  <c r="AD867" i="7"/>
  <c r="AB867" i="7"/>
  <c r="AA867" i="7"/>
  <c r="Z867" i="7"/>
  <c r="Y867" i="7"/>
  <c r="X867" i="7"/>
  <c r="W867" i="7"/>
  <c r="V867" i="7"/>
  <c r="U867" i="7"/>
  <c r="T867" i="7"/>
  <c r="S867" i="7"/>
  <c r="R867" i="7"/>
  <c r="Q867" i="7"/>
  <c r="P867" i="7"/>
  <c r="O867" i="7"/>
  <c r="N867" i="7"/>
  <c r="M867" i="7"/>
  <c r="L867" i="7"/>
  <c r="K867" i="7"/>
  <c r="J867" i="7"/>
  <c r="I867" i="7"/>
  <c r="H867" i="7"/>
  <c r="G867" i="7"/>
  <c r="F867" i="7"/>
  <c r="E867" i="7"/>
  <c r="AC866" i="7"/>
  <c r="D866" i="7" s="1"/>
  <c r="B866" i="7"/>
  <c r="AC865" i="7"/>
  <c r="D865" i="7" s="1"/>
  <c r="B865" i="7"/>
  <c r="AC864" i="7"/>
  <c r="D864" i="7" s="1"/>
  <c r="B864" i="7"/>
  <c r="AC863" i="7"/>
  <c r="D863" i="7" s="1"/>
  <c r="B863" i="7"/>
  <c r="AT862" i="7"/>
  <c r="AC862" i="7"/>
  <c r="D862" i="7" s="1"/>
  <c r="B862" i="7"/>
  <c r="AC861" i="7"/>
  <c r="D861" i="7" s="1"/>
  <c r="B861" i="7"/>
  <c r="D860" i="7"/>
  <c r="B860" i="7"/>
  <c r="AC859" i="7"/>
  <c r="B859" i="7"/>
  <c r="AE858" i="7"/>
  <c r="AD858" i="7"/>
  <c r="AB858" i="7"/>
  <c r="AA858" i="7"/>
  <c r="Z858" i="7"/>
  <c r="Y858" i="7"/>
  <c r="X858" i="7"/>
  <c r="W858" i="7"/>
  <c r="V858" i="7"/>
  <c r="U858" i="7"/>
  <c r="T858" i="7"/>
  <c r="S858" i="7"/>
  <c r="R858" i="7"/>
  <c r="Q858" i="7"/>
  <c r="P858" i="7"/>
  <c r="O858" i="7"/>
  <c r="N858" i="7"/>
  <c r="M858" i="7"/>
  <c r="L858" i="7"/>
  <c r="K858" i="7"/>
  <c r="J858" i="7"/>
  <c r="I858" i="7"/>
  <c r="H858" i="7"/>
  <c r="G858" i="7"/>
  <c r="F858" i="7"/>
  <c r="E858" i="7"/>
  <c r="AD857" i="7"/>
  <c r="AD856" i="7" s="1"/>
  <c r="AC857" i="7"/>
  <c r="B857" i="7"/>
  <c r="AE856" i="7"/>
  <c r="AB856" i="7"/>
  <c r="AA856" i="7"/>
  <c r="Z856" i="7"/>
  <c r="Y856" i="7"/>
  <c r="X856" i="7"/>
  <c r="W856" i="7"/>
  <c r="V856" i="7"/>
  <c r="U856" i="7"/>
  <c r="T856" i="7"/>
  <c r="S856" i="7"/>
  <c r="R856" i="7"/>
  <c r="Q856" i="7"/>
  <c r="P856" i="7"/>
  <c r="O856" i="7"/>
  <c r="N856" i="7"/>
  <c r="M856" i="7"/>
  <c r="L856" i="7"/>
  <c r="K856" i="7"/>
  <c r="J856" i="7"/>
  <c r="I856" i="7"/>
  <c r="H856" i="7"/>
  <c r="G856" i="7"/>
  <c r="F856" i="7"/>
  <c r="E856" i="7"/>
  <c r="AC855" i="7"/>
  <c r="D855" i="7" s="1"/>
  <c r="D854" i="7" s="1"/>
  <c r="CB854" i="7" s="1"/>
  <c r="B855" i="7"/>
  <c r="AE854" i="7"/>
  <c r="AD854" i="7"/>
  <c r="AB854" i="7"/>
  <c r="AA854" i="7"/>
  <c r="Z854" i="7"/>
  <c r="Y854" i="7"/>
  <c r="X854" i="7"/>
  <c r="W854" i="7"/>
  <c r="V854" i="7"/>
  <c r="U854" i="7"/>
  <c r="T854" i="7"/>
  <c r="S854" i="7"/>
  <c r="R854" i="7"/>
  <c r="Q854" i="7"/>
  <c r="P854" i="7"/>
  <c r="O854" i="7"/>
  <c r="N854" i="7"/>
  <c r="M854" i="7"/>
  <c r="L854" i="7"/>
  <c r="K854" i="7"/>
  <c r="J854" i="7"/>
  <c r="I854" i="7"/>
  <c r="H854" i="7"/>
  <c r="G854" i="7"/>
  <c r="F854" i="7"/>
  <c r="E854" i="7"/>
  <c r="AC853" i="7"/>
  <c r="D853" i="7" s="1"/>
  <c r="D852" i="7" s="1"/>
  <c r="CB852" i="7" s="1"/>
  <c r="B853" i="7"/>
  <c r="AE852" i="7"/>
  <c r="AD852" i="7"/>
  <c r="AB852" i="7"/>
  <c r="AA852" i="7"/>
  <c r="Z852" i="7"/>
  <c r="Y852" i="7"/>
  <c r="X852" i="7"/>
  <c r="W852" i="7"/>
  <c r="V852" i="7"/>
  <c r="U852" i="7"/>
  <c r="T852" i="7"/>
  <c r="S852" i="7"/>
  <c r="R852" i="7"/>
  <c r="Q852" i="7"/>
  <c r="P852" i="7"/>
  <c r="O852" i="7"/>
  <c r="N852" i="7"/>
  <c r="M852" i="7"/>
  <c r="L852" i="7"/>
  <c r="K852" i="7"/>
  <c r="J852" i="7"/>
  <c r="I852" i="7"/>
  <c r="H852" i="7"/>
  <c r="G852" i="7"/>
  <c r="F852" i="7"/>
  <c r="E852" i="7"/>
  <c r="AC851" i="7"/>
  <c r="B851" i="7"/>
  <c r="AE850" i="7"/>
  <c r="AD850" i="7"/>
  <c r="AB850" i="7"/>
  <c r="AA850" i="7"/>
  <c r="Z850" i="7"/>
  <c r="Y850" i="7"/>
  <c r="X850" i="7"/>
  <c r="W850" i="7"/>
  <c r="V850" i="7"/>
  <c r="U850" i="7"/>
  <c r="T850" i="7"/>
  <c r="S850" i="7"/>
  <c r="R850" i="7"/>
  <c r="Q850" i="7"/>
  <c r="P850" i="7"/>
  <c r="O850" i="7"/>
  <c r="N850" i="7"/>
  <c r="M850" i="7"/>
  <c r="L850" i="7"/>
  <c r="K850" i="7"/>
  <c r="J850" i="7"/>
  <c r="I850" i="7"/>
  <c r="H850" i="7"/>
  <c r="G850" i="7"/>
  <c r="F850" i="7"/>
  <c r="E850" i="7"/>
  <c r="AC849" i="7"/>
  <c r="D849" i="7" s="1"/>
  <c r="D848" i="7" s="1"/>
  <c r="B849" i="7"/>
  <c r="AE848" i="7"/>
  <c r="AD848" i="7"/>
  <c r="AB848" i="7"/>
  <c r="AA848" i="7"/>
  <c r="Z848" i="7"/>
  <c r="Y848" i="7"/>
  <c r="X848" i="7"/>
  <c r="W848" i="7"/>
  <c r="V848" i="7"/>
  <c r="U848" i="7"/>
  <c r="T848" i="7"/>
  <c r="S848" i="7"/>
  <c r="R848" i="7"/>
  <c r="Q848" i="7"/>
  <c r="P848" i="7"/>
  <c r="O848" i="7"/>
  <c r="N848" i="7"/>
  <c r="M848" i="7"/>
  <c r="L848" i="7"/>
  <c r="K848" i="7"/>
  <c r="J848" i="7"/>
  <c r="I848" i="7"/>
  <c r="H848" i="7"/>
  <c r="G848" i="7"/>
  <c r="F848" i="7"/>
  <c r="E848" i="7"/>
  <c r="AC847" i="7"/>
  <c r="B847" i="7"/>
  <c r="AE846" i="7"/>
  <c r="AD846" i="7"/>
  <c r="AB846" i="7"/>
  <c r="AA846" i="7"/>
  <c r="Z846" i="7"/>
  <c r="Y846" i="7"/>
  <c r="X846" i="7"/>
  <c r="W846" i="7"/>
  <c r="V846" i="7"/>
  <c r="U846" i="7"/>
  <c r="T846" i="7"/>
  <c r="S846" i="7"/>
  <c r="R846" i="7"/>
  <c r="Q846" i="7"/>
  <c r="P846" i="7"/>
  <c r="O846" i="7"/>
  <c r="N846" i="7"/>
  <c r="M846" i="7"/>
  <c r="L846" i="7"/>
  <c r="K846" i="7"/>
  <c r="J846" i="7"/>
  <c r="I846" i="7"/>
  <c r="H846" i="7"/>
  <c r="G846" i="7"/>
  <c r="F846" i="7"/>
  <c r="E846" i="7"/>
  <c r="AC845" i="7"/>
  <c r="B845" i="7"/>
  <c r="AE844" i="7"/>
  <c r="AD844" i="7"/>
  <c r="AB844" i="7"/>
  <c r="AA844" i="7"/>
  <c r="Z844" i="7"/>
  <c r="Y844" i="7"/>
  <c r="X844" i="7"/>
  <c r="W844" i="7"/>
  <c r="V844" i="7"/>
  <c r="U844" i="7"/>
  <c r="T844" i="7"/>
  <c r="S844" i="7"/>
  <c r="R844" i="7"/>
  <c r="Q844" i="7"/>
  <c r="P844" i="7"/>
  <c r="O844" i="7"/>
  <c r="N844" i="7"/>
  <c r="M844" i="7"/>
  <c r="L844" i="7"/>
  <c r="K844" i="7"/>
  <c r="J844" i="7"/>
  <c r="I844" i="7"/>
  <c r="H844" i="7"/>
  <c r="G844" i="7"/>
  <c r="F844" i="7"/>
  <c r="E844" i="7"/>
  <c r="AC841" i="7"/>
  <c r="D841" i="7" s="1"/>
  <c r="B841" i="7"/>
  <c r="AC840" i="7"/>
  <c r="D840" i="7" s="1"/>
  <c r="B840" i="7"/>
  <c r="AT839" i="7"/>
  <c r="AC839" i="7"/>
  <c r="D839" i="7" s="1"/>
  <c r="B839" i="7"/>
  <c r="AE838" i="7"/>
  <c r="AD838" i="7"/>
  <c r="AB838" i="7"/>
  <c r="AA838" i="7"/>
  <c r="Z838" i="7"/>
  <c r="Y838" i="7"/>
  <c r="X838" i="7"/>
  <c r="W838" i="7"/>
  <c r="V838" i="7"/>
  <c r="U838" i="7"/>
  <c r="T838" i="7"/>
  <c r="S838" i="7"/>
  <c r="R838" i="7"/>
  <c r="Q838" i="7"/>
  <c r="P838" i="7"/>
  <c r="O838" i="7"/>
  <c r="N838" i="7"/>
  <c r="M838" i="7"/>
  <c r="L838" i="7"/>
  <c r="K838" i="7"/>
  <c r="J838" i="7"/>
  <c r="I838" i="7"/>
  <c r="H838" i="7"/>
  <c r="G838" i="7"/>
  <c r="F838" i="7"/>
  <c r="E838" i="7"/>
  <c r="AC837" i="7"/>
  <c r="D837" i="7" s="1"/>
  <c r="B837" i="7"/>
  <c r="AC836" i="7"/>
  <c r="D836" i="7" s="1"/>
  <c r="B836" i="7"/>
  <c r="AC835" i="7"/>
  <c r="D835" i="7" s="1"/>
  <c r="B835" i="7"/>
  <c r="AC834" i="7"/>
  <c r="D834" i="7" s="1"/>
  <c r="B834" i="7"/>
  <c r="AC833" i="7"/>
  <c r="D833" i="7" s="1"/>
  <c r="B833" i="7"/>
  <c r="AT832" i="7"/>
  <c r="AC832" i="7"/>
  <c r="B832" i="7"/>
  <c r="AE831" i="7"/>
  <c r="AD831" i="7"/>
  <c r="AB831" i="7"/>
  <c r="AA831" i="7"/>
  <c r="Z831" i="7"/>
  <c r="Y831" i="7"/>
  <c r="X831" i="7"/>
  <c r="W831" i="7"/>
  <c r="V831" i="7"/>
  <c r="U831" i="7"/>
  <c r="T831" i="7"/>
  <c r="S831" i="7"/>
  <c r="R831" i="7"/>
  <c r="Q831" i="7"/>
  <c r="P831" i="7"/>
  <c r="O831" i="7"/>
  <c r="N831" i="7"/>
  <c r="M831" i="7"/>
  <c r="L831" i="7"/>
  <c r="K831" i="7"/>
  <c r="J831" i="7"/>
  <c r="I831" i="7"/>
  <c r="H831" i="7"/>
  <c r="G831" i="7"/>
  <c r="F831" i="7"/>
  <c r="E831" i="7"/>
  <c r="AC830" i="7"/>
  <c r="D830" i="7" s="1"/>
  <c r="D829" i="7" s="1"/>
  <c r="B830" i="7"/>
  <c r="AE829" i="7"/>
  <c r="AD829" i="7"/>
  <c r="AB829" i="7"/>
  <c r="AA829" i="7"/>
  <c r="Z829" i="7"/>
  <c r="Y829" i="7"/>
  <c r="X829" i="7"/>
  <c r="W829" i="7"/>
  <c r="V829" i="7"/>
  <c r="U829" i="7"/>
  <c r="T829" i="7"/>
  <c r="S829" i="7"/>
  <c r="R829" i="7"/>
  <c r="Q829" i="7"/>
  <c r="P829" i="7"/>
  <c r="O829" i="7"/>
  <c r="N829" i="7"/>
  <c r="M829" i="7"/>
  <c r="L829" i="7"/>
  <c r="K829" i="7"/>
  <c r="J829" i="7"/>
  <c r="I829" i="7"/>
  <c r="H829" i="7"/>
  <c r="G829" i="7"/>
  <c r="F829" i="7"/>
  <c r="E829" i="7"/>
  <c r="AC828" i="7"/>
  <c r="D828" i="7" s="1"/>
  <c r="D827" i="7" s="1"/>
  <c r="B828" i="7"/>
  <c r="AE827" i="7"/>
  <c r="AD827" i="7"/>
  <c r="AB827" i="7"/>
  <c r="AA827" i="7"/>
  <c r="Z827" i="7"/>
  <c r="Y827" i="7"/>
  <c r="X827" i="7"/>
  <c r="W827" i="7"/>
  <c r="V827" i="7"/>
  <c r="U827" i="7"/>
  <c r="T827" i="7"/>
  <c r="S827" i="7"/>
  <c r="R827" i="7"/>
  <c r="Q827" i="7"/>
  <c r="P827" i="7"/>
  <c r="O827" i="7"/>
  <c r="N827" i="7"/>
  <c r="M827" i="7"/>
  <c r="L827" i="7"/>
  <c r="K827" i="7"/>
  <c r="J827" i="7"/>
  <c r="I827" i="7"/>
  <c r="H827" i="7"/>
  <c r="G827" i="7"/>
  <c r="F827" i="7"/>
  <c r="E827" i="7"/>
  <c r="AC826" i="7"/>
  <c r="D826" i="7" s="1"/>
  <c r="B826" i="7"/>
  <c r="AC825" i="7"/>
  <c r="D825" i="7" s="1"/>
  <c r="B825" i="7"/>
  <c r="AE824" i="7"/>
  <c r="AD824" i="7"/>
  <c r="AB824" i="7"/>
  <c r="AA824" i="7"/>
  <c r="Z824" i="7"/>
  <c r="Y824" i="7"/>
  <c r="X824" i="7"/>
  <c r="W824" i="7"/>
  <c r="V824" i="7"/>
  <c r="U824" i="7"/>
  <c r="T824" i="7"/>
  <c r="S824" i="7"/>
  <c r="R824" i="7"/>
  <c r="Q824" i="7"/>
  <c r="P824" i="7"/>
  <c r="O824" i="7"/>
  <c r="N824" i="7"/>
  <c r="M824" i="7"/>
  <c r="L824" i="7"/>
  <c r="K824" i="7"/>
  <c r="J824" i="7"/>
  <c r="I824" i="7"/>
  <c r="H824" i="7"/>
  <c r="G824" i="7"/>
  <c r="F824" i="7"/>
  <c r="E824" i="7"/>
  <c r="AC823" i="7"/>
  <c r="AC822" i="7" s="1"/>
  <c r="B823" i="7"/>
  <c r="AE822" i="7"/>
  <c r="AD822" i="7"/>
  <c r="AB822" i="7"/>
  <c r="AA822" i="7"/>
  <c r="Z822" i="7"/>
  <c r="Y822" i="7"/>
  <c r="X822" i="7"/>
  <c r="W822" i="7"/>
  <c r="V822" i="7"/>
  <c r="U822" i="7"/>
  <c r="T822" i="7"/>
  <c r="S822" i="7"/>
  <c r="R822" i="7"/>
  <c r="Q822" i="7"/>
  <c r="P822" i="7"/>
  <c r="O822" i="7"/>
  <c r="N822" i="7"/>
  <c r="M822" i="7"/>
  <c r="L822" i="7"/>
  <c r="K822" i="7"/>
  <c r="J822" i="7"/>
  <c r="I822" i="7"/>
  <c r="H822" i="7"/>
  <c r="G822" i="7"/>
  <c r="F822" i="7"/>
  <c r="E822" i="7"/>
  <c r="AC821" i="7"/>
  <c r="D821" i="7" s="1"/>
  <c r="B821" i="7"/>
  <c r="AC820" i="7"/>
  <c r="D820" i="7" s="1"/>
  <c r="B820" i="7"/>
  <c r="AE819" i="7"/>
  <c r="AD819" i="7"/>
  <c r="AB819" i="7"/>
  <c r="AA819" i="7"/>
  <c r="Z819" i="7"/>
  <c r="Y819" i="7"/>
  <c r="X819" i="7"/>
  <c r="W819" i="7"/>
  <c r="V819" i="7"/>
  <c r="U819" i="7"/>
  <c r="T819" i="7"/>
  <c r="S819" i="7"/>
  <c r="R819" i="7"/>
  <c r="Q819" i="7"/>
  <c r="P819" i="7"/>
  <c r="O819" i="7"/>
  <c r="N819" i="7"/>
  <c r="M819" i="7"/>
  <c r="L819" i="7"/>
  <c r="K819" i="7"/>
  <c r="J819" i="7"/>
  <c r="I819" i="7"/>
  <c r="H819" i="7"/>
  <c r="G819" i="7"/>
  <c r="F819" i="7"/>
  <c r="E819" i="7"/>
  <c r="AC818" i="7"/>
  <c r="D818" i="7" s="1"/>
  <c r="B818" i="7"/>
  <c r="AC817" i="7"/>
  <c r="D817" i="7" s="1"/>
  <c r="B817" i="7"/>
  <c r="AC816" i="7"/>
  <c r="D816" i="7" s="1"/>
  <c r="B816" i="7"/>
  <c r="AC815" i="7"/>
  <c r="D815" i="7" s="1"/>
  <c r="B815" i="7"/>
  <c r="AE814" i="7"/>
  <c r="AD814" i="7"/>
  <c r="AB814" i="7"/>
  <c r="AA814" i="7"/>
  <c r="Z814" i="7"/>
  <c r="Y814" i="7"/>
  <c r="X814" i="7"/>
  <c r="W814" i="7"/>
  <c r="V814" i="7"/>
  <c r="U814" i="7"/>
  <c r="T814" i="7"/>
  <c r="S814" i="7"/>
  <c r="R814" i="7"/>
  <c r="Q814" i="7"/>
  <c r="P814" i="7"/>
  <c r="O814" i="7"/>
  <c r="N814" i="7"/>
  <c r="M814" i="7"/>
  <c r="L814" i="7"/>
  <c r="K814" i="7"/>
  <c r="J814" i="7"/>
  <c r="I814" i="7"/>
  <c r="H814" i="7"/>
  <c r="G814" i="7"/>
  <c r="F814" i="7"/>
  <c r="E814" i="7"/>
  <c r="AC812" i="7"/>
  <c r="D812" i="7" s="1"/>
  <c r="B812" i="7"/>
  <c r="AE811" i="7"/>
  <c r="AD811" i="7"/>
  <c r="AB811" i="7"/>
  <c r="AA811" i="7"/>
  <c r="Z811" i="7"/>
  <c r="Y811" i="7"/>
  <c r="X811" i="7"/>
  <c r="W811" i="7"/>
  <c r="V811" i="7"/>
  <c r="U811" i="7"/>
  <c r="T811" i="7"/>
  <c r="S811" i="7"/>
  <c r="R811" i="7"/>
  <c r="Q811" i="7"/>
  <c r="P811" i="7"/>
  <c r="O811" i="7"/>
  <c r="N811" i="7"/>
  <c r="M811" i="7"/>
  <c r="L811" i="7"/>
  <c r="K811" i="7"/>
  <c r="J811" i="7"/>
  <c r="I811" i="7"/>
  <c r="H811" i="7"/>
  <c r="G811" i="7"/>
  <c r="F811" i="7"/>
  <c r="E811" i="7"/>
  <c r="AC809" i="7"/>
  <c r="D809" i="7" s="1"/>
  <c r="B809" i="7"/>
  <c r="AC808" i="7"/>
  <c r="D808" i="7" s="1"/>
  <c r="B808" i="7"/>
  <c r="AC807" i="7"/>
  <c r="D807" i="7" s="1"/>
  <c r="B807" i="7"/>
  <c r="AC806" i="7"/>
  <c r="D806" i="7" s="1"/>
  <c r="B806" i="7"/>
  <c r="N805" i="7"/>
  <c r="B805" i="7"/>
  <c r="AC804" i="7"/>
  <c r="D804" i="7" s="1"/>
  <c r="B804" i="7"/>
  <c r="AC803" i="7"/>
  <c r="D803" i="7" s="1"/>
  <c r="B803" i="7"/>
  <c r="D802" i="7"/>
  <c r="B802" i="7"/>
  <c r="AC801" i="7"/>
  <c r="D801" i="7" s="1"/>
  <c r="B801" i="7"/>
  <c r="AC800" i="7"/>
  <c r="D800" i="7" s="1"/>
  <c r="B800" i="7"/>
  <c r="AC799" i="7"/>
  <c r="D799" i="7" s="1"/>
  <c r="B799" i="7"/>
  <c r="AT798" i="7"/>
  <c r="AC798" i="7"/>
  <c r="D798" i="7" s="1"/>
  <c r="B798" i="7"/>
  <c r="AC797" i="7"/>
  <c r="D797" i="7" s="1"/>
  <c r="B797" i="7"/>
  <c r="AT796" i="7"/>
  <c r="AC796" i="7"/>
  <c r="D796" i="7" s="1"/>
  <c r="B796" i="7"/>
  <c r="AC795" i="7"/>
  <c r="D795" i="7" s="1"/>
  <c r="B795" i="7"/>
  <c r="AC794" i="7"/>
  <c r="D794" i="7" s="1"/>
  <c r="B794" i="7"/>
  <c r="AC793" i="7"/>
  <c r="B793" i="7"/>
  <c r="AC791" i="7"/>
  <c r="D791" i="7" s="1"/>
  <c r="B791" i="7"/>
  <c r="AC790" i="7"/>
  <c r="D790" i="7" s="1"/>
  <c r="B790" i="7"/>
  <c r="D789" i="7"/>
  <c r="B789" i="7"/>
  <c r="AE788" i="7"/>
  <c r="AD788" i="7"/>
  <c r="AB788" i="7"/>
  <c r="AA788" i="7"/>
  <c r="Z788" i="7"/>
  <c r="Y788" i="7"/>
  <c r="X788" i="7"/>
  <c r="W788" i="7"/>
  <c r="V788" i="7"/>
  <c r="U788" i="7"/>
  <c r="T788" i="7"/>
  <c r="S788" i="7"/>
  <c r="R788" i="7"/>
  <c r="Q788" i="7"/>
  <c r="P788" i="7"/>
  <c r="O788" i="7"/>
  <c r="N788" i="7"/>
  <c r="M788" i="7"/>
  <c r="L788" i="7"/>
  <c r="K788" i="7"/>
  <c r="J788" i="7"/>
  <c r="I788" i="7"/>
  <c r="H788" i="7"/>
  <c r="G788" i="7"/>
  <c r="F788" i="7"/>
  <c r="E788" i="7"/>
  <c r="D787" i="7"/>
  <c r="B787" i="7"/>
  <c r="D786" i="7"/>
  <c r="B786" i="7"/>
  <c r="D785" i="7"/>
  <c r="B785" i="7"/>
  <c r="D784" i="7"/>
  <c r="B784" i="7"/>
  <c r="D783" i="7"/>
  <c r="B783" i="7"/>
  <c r="D782" i="7"/>
  <c r="B782" i="7"/>
  <c r="D781" i="7"/>
  <c r="B781" i="7"/>
  <c r="D780" i="7"/>
  <c r="B780" i="7"/>
  <c r="D779" i="7"/>
  <c r="B779" i="7"/>
  <c r="D778" i="7"/>
  <c r="B778" i="7"/>
  <c r="D777" i="7"/>
  <c r="AC774" i="7"/>
  <c r="D774" i="7" s="1"/>
  <c r="D773" i="7"/>
  <c r="B773" i="7"/>
  <c r="D772" i="7"/>
  <c r="B772" i="7"/>
  <c r="N771" i="7"/>
  <c r="AC771" i="7" s="1"/>
  <c r="D771" i="7" s="1"/>
  <c r="B771" i="7"/>
  <c r="D770" i="7"/>
  <c r="B770" i="7"/>
  <c r="AC769" i="7"/>
  <c r="D769" i="7" s="1"/>
  <c r="B769" i="7"/>
  <c r="D768" i="7"/>
  <c r="B768" i="7"/>
  <c r="D767" i="7"/>
  <c r="B767" i="7"/>
  <c r="AC766" i="7"/>
  <c r="B766" i="7"/>
  <c r="AE765" i="7"/>
  <c r="AD765" i="7"/>
  <c r="AB765" i="7"/>
  <c r="AA765" i="7"/>
  <c r="Z765" i="7"/>
  <c r="Y765" i="7"/>
  <c r="X765" i="7"/>
  <c r="W765" i="7"/>
  <c r="V765" i="7"/>
  <c r="U765" i="7"/>
  <c r="T765" i="7"/>
  <c r="S765" i="7"/>
  <c r="R765" i="7"/>
  <c r="Q765" i="7"/>
  <c r="P765" i="7"/>
  <c r="O765" i="7"/>
  <c r="M765" i="7"/>
  <c r="L765" i="7"/>
  <c r="K765" i="7"/>
  <c r="J765" i="7"/>
  <c r="I765" i="7"/>
  <c r="H765" i="7"/>
  <c r="G765" i="7"/>
  <c r="F765" i="7"/>
  <c r="E765" i="7"/>
  <c r="AC764" i="7"/>
  <c r="D764" i="7" s="1"/>
  <c r="B764" i="7"/>
  <c r="AC763" i="7"/>
  <c r="D763" i="7" s="1"/>
  <c r="B763" i="7"/>
  <c r="AC762" i="7"/>
  <c r="D762" i="7" s="1"/>
  <c r="B762" i="7"/>
  <c r="AC761" i="7"/>
  <c r="D761" i="7" s="1"/>
  <c r="B761" i="7"/>
  <c r="AC735" i="7"/>
  <c r="D735" i="7" s="1"/>
  <c r="AC760" i="7"/>
  <c r="D760" i="7" s="1"/>
  <c r="B760" i="7"/>
  <c r="AC759" i="7"/>
  <c r="D759" i="7" s="1"/>
  <c r="B759" i="7"/>
  <c r="AC758" i="7"/>
  <c r="D758" i="7" s="1"/>
  <c r="B758" i="7"/>
  <c r="AC757" i="7"/>
  <c r="D757" i="7" s="1"/>
  <c r="B757" i="7"/>
  <c r="AC756" i="7"/>
  <c r="D756" i="7" s="1"/>
  <c r="B756" i="7"/>
  <c r="AC755" i="7"/>
  <c r="D755" i="7" s="1"/>
  <c r="B755" i="7"/>
  <c r="AC754" i="7"/>
  <c r="D754" i="7" s="1"/>
  <c r="B754" i="7"/>
  <c r="AC753" i="7"/>
  <c r="D753" i="7" s="1"/>
  <c r="B753" i="7"/>
  <c r="AC752" i="7"/>
  <c r="D752" i="7" s="1"/>
  <c r="B752" i="7"/>
  <c r="AC751" i="7"/>
  <c r="D751" i="7" s="1"/>
  <c r="B751" i="7"/>
  <c r="AC750" i="7"/>
  <c r="D750" i="7" s="1"/>
  <c r="B750" i="7"/>
  <c r="AC749" i="7"/>
  <c r="D749" i="7" s="1"/>
  <c r="B749" i="7"/>
  <c r="AC748" i="7"/>
  <c r="D748" i="7" s="1"/>
  <c r="B748" i="7"/>
  <c r="AC747" i="7"/>
  <c r="D747" i="7" s="1"/>
  <c r="B747" i="7"/>
  <c r="AC746" i="7"/>
  <c r="D746" i="7" s="1"/>
  <c r="B746" i="7"/>
  <c r="AC745" i="7"/>
  <c r="D745" i="7" s="1"/>
  <c r="B745" i="7"/>
  <c r="AC744" i="7"/>
  <c r="D744" i="7" s="1"/>
  <c r="B744" i="7"/>
  <c r="AC743" i="7"/>
  <c r="D743" i="7" s="1"/>
  <c r="B743" i="7"/>
  <c r="AC742" i="7"/>
  <c r="D742" i="7" s="1"/>
  <c r="B742" i="7"/>
  <c r="AC741" i="7"/>
  <c r="D741" i="7" s="1"/>
  <c r="B741" i="7"/>
  <c r="AC740" i="7"/>
  <c r="D740" i="7" s="1"/>
  <c r="B740" i="7"/>
  <c r="AC739" i="7"/>
  <c r="D739" i="7" s="1"/>
  <c r="B739" i="7"/>
  <c r="AC734" i="7"/>
  <c r="D734" i="7" s="1"/>
  <c r="AC733" i="7"/>
  <c r="D733" i="7" s="1"/>
  <c r="B733" i="7"/>
  <c r="AC732" i="7"/>
  <c r="D732" i="7" s="1"/>
  <c r="B732" i="7"/>
  <c r="AC731" i="7"/>
  <c r="D731" i="7" s="1"/>
  <c r="B731" i="7"/>
  <c r="AC730" i="7"/>
  <c r="D730" i="7" s="1"/>
  <c r="B730" i="7"/>
  <c r="AC729" i="7"/>
  <c r="D729" i="7" s="1"/>
  <c r="B729" i="7"/>
  <c r="AC728" i="7"/>
  <c r="D728" i="7" s="1"/>
  <c r="B728" i="7"/>
  <c r="AC727" i="7"/>
  <c r="D727" i="7" s="1"/>
  <c r="B727" i="7"/>
  <c r="D726" i="7"/>
  <c r="B726" i="7"/>
  <c r="D725" i="7"/>
  <c r="B725" i="7"/>
  <c r="D724" i="7"/>
  <c r="B724" i="7"/>
  <c r="AC723" i="7"/>
  <c r="D723" i="7" s="1"/>
  <c r="B723" i="7"/>
  <c r="AC722" i="7"/>
  <c r="D722" i="7" s="1"/>
  <c r="B722" i="7"/>
  <c r="AC721" i="7"/>
  <c r="D721" i="7" s="1"/>
  <c r="B721" i="7"/>
  <c r="AC720" i="7"/>
  <c r="D720" i="7" s="1"/>
  <c r="B720" i="7"/>
  <c r="AC719" i="7"/>
  <c r="D719" i="7" s="1"/>
  <c r="B719" i="7"/>
  <c r="AC718" i="7"/>
  <c r="D718" i="7" s="1"/>
  <c r="B718" i="7"/>
  <c r="AC717" i="7"/>
  <c r="D717" i="7" s="1"/>
  <c r="B717" i="7"/>
  <c r="AC716" i="7"/>
  <c r="D716" i="7" s="1"/>
  <c r="B716" i="7"/>
  <c r="AC715" i="7"/>
  <c r="D715" i="7" s="1"/>
  <c r="B715" i="7"/>
  <c r="AC714" i="7"/>
  <c r="D714" i="7" s="1"/>
  <c r="B714" i="7"/>
  <c r="AC713" i="7"/>
  <c r="D713" i="7" s="1"/>
  <c r="B713" i="7"/>
  <c r="AC712" i="7"/>
  <c r="D712" i="7" s="1"/>
  <c r="B712" i="7"/>
  <c r="AC711" i="7"/>
  <c r="D711" i="7" s="1"/>
  <c r="B711" i="7"/>
  <c r="AC710" i="7"/>
  <c r="D710" i="7" s="1"/>
  <c r="B710" i="7"/>
  <c r="AC709" i="7"/>
  <c r="D709" i="7" s="1"/>
  <c r="B709" i="7"/>
  <c r="AC708" i="7"/>
  <c r="D708" i="7" s="1"/>
  <c r="B708" i="7"/>
  <c r="AC707" i="7"/>
  <c r="D707" i="7" s="1"/>
  <c r="B707" i="7"/>
  <c r="AC706" i="7"/>
  <c r="D706" i="7" s="1"/>
  <c r="B706" i="7"/>
  <c r="AT705" i="7"/>
  <c r="D705" i="7"/>
  <c r="B705" i="7"/>
  <c r="AC704" i="7"/>
  <c r="D704" i="7" s="1"/>
  <c r="B704" i="7"/>
  <c r="AE703" i="7"/>
  <c r="AD703" i="7"/>
  <c r="AB703" i="7"/>
  <c r="AA703" i="7"/>
  <c r="Z703" i="7"/>
  <c r="Y703" i="7"/>
  <c r="X703" i="7"/>
  <c r="W703" i="7"/>
  <c r="V703" i="7"/>
  <c r="U703" i="7"/>
  <c r="T703" i="7"/>
  <c r="S703" i="7"/>
  <c r="R703" i="7"/>
  <c r="Q703" i="7"/>
  <c r="P703" i="7"/>
  <c r="O703" i="7"/>
  <c r="M703" i="7"/>
  <c r="L703" i="7"/>
  <c r="K703" i="7"/>
  <c r="J703" i="7"/>
  <c r="I703" i="7"/>
  <c r="H703" i="7"/>
  <c r="G703" i="7"/>
  <c r="F703" i="7"/>
  <c r="E703" i="7"/>
  <c r="AD684" i="7"/>
  <c r="AC700" i="7"/>
  <c r="D700" i="7" s="1"/>
  <c r="B700" i="7"/>
  <c r="AC699" i="7"/>
  <c r="D699" i="7" s="1"/>
  <c r="B699" i="7"/>
  <c r="AC698" i="7"/>
  <c r="D698" i="7" s="1"/>
  <c r="B698" i="7"/>
  <c r="AC697" i="7"/>
  <c r="D697" i="7" s="1"/>
  <c r="B697" i="7"/>
  <c r="AC696" i="7"/>
  <c r="D696" i="7" s="1"/>
  <c r="B696" i="7"/>
  <c r="AC695" i="7"/>
  <c r="D695" i="7" s="1"/>
  <c r="B695" i="7"/>
  <c r="AC694" i="7"/>
  <c r="D694" i="7" s="1"/>
  <c r="B694" i="7"/>
  <c r="AC693" i="7"/>
  <c r="D693" i="7" s="1"/>
  <c r="B693" i="7"/>
  <c r="E692" i="7"/>
  <c r="E684" i="7" s="1"/>
  <c r="B692" i="7"/>
  <c r="AC691" i="7"/>
  <c r="D691" i="7" s="1"/>
  <c r="B691" i="7"/>
  <c r="AC690" i="7"/>
  <c r="D690" i="7" s="1"/>
  <c r="B690" i="7"/>
  <c r="AC689" i="7"/>
  <c r="D689" i="7" s="1"/>
  <c r="B689" i="7"/>
  <c r="AC688" i="7"/>
  <c r="D688" i="7" s="1"/>
  <c r="B688" i="7"/>
  <c r="AC687" i="7"/>
  <c r="D687" i="7" s="1"/>
  <c r="B687" i="7"/>
  <c r="AC686" i="7"/>
  <c r="D686" i="7" s="1"/>
  <c r="B686" i="7"/>
  <c r="AC685" i="7"/>
  <c r="D685" i="7" s="1"/>
  <c r="B685" i="7"/>
  <c r="AE684" i="7"/>
  <c r="AB684" i="7"/>
  <c r="AA684" i="7"/>
  <c r="Z684" i="7"/>
  <c r="Y684" i="7"/>
  <c r="X684" i="7"/>
  <c r="W684" i="7"/>
  <c r="V684" i="7"/>
  <c r="U684" i="7"/>
  <c r="T684" i="7"/>
  <c r="S684" i="7"/>
  <c r="R684" i="7"/>
  <c r="Q684" i="7"/>
  <c r="P684" i="7"/>
  <c r="O684" i="7"/>
  <c r="N684" i="7"/>
  <c r="M684" i="7"/>
  <c r="L684" i="7"/>
  <c r="K684" i="7"/>
  <c r="J684" i="7"/>
  <c r="I684" i="7"/>
  <c r="H684" i="7"/>
  <c r="G684" i="7"/>
  <c r="F684" i="7"/>
  <c r="D683" i="7"/>
  <c r="B683" i="7"/>
  <c r="D682" i="7"/>
  <c r="B682" i="7"/>
  <c r="D679" i="7"/>
  <c r="B679" i="7"/>
  <c r="D678" i="7"/>
  <c r="B678" i="7"/>
  <c r="D677" i="7"/>
  <c r="B677" i="7"/>
  <c r="D676" i="7"/>
  <c r="B676" i="7"/>
  <c r="D675" i="7"/>
  <c r="B675" i="7"/>
  <c r="D674" i="7"/>
  <c r="B674" i="7"/>
  <c r="D673" i="7"/>
  <c r="B673" i="7"/>
  <c r="D672" i="7"/>
  <c r="B672" i="7"/>
  <c r="D671" i="7"/>
  <c r="B671" i="7"/>
  <c r="D670" i="7"/>
  <c r="B670" i="7"/>
  <c r="D669" i="7"/>
  <c r="B669" i="7"/>
  <c r="D668" i="7"/>
  <c r="B668" i="7"/>
  <c r="D667" i="7"/>
  <c r="B667" i="7"/>
  <c r="D666" i="7"/>
  <c r="B666" i="7"/>
  <c r="D665" i="7"/>
  <c r="B665" i="7"/>
  <c r="D664" i="7"/>
  <c r="B664" i="7"/>
  <c r="D663" i="7"/>
  <c r="B663" i="7"/>
  <c r="D662" i="7"/>
  <c r="B662" i="7"/>
  <c r="D661" i="7"/>
  <c r="B661" i="7"/>
  <c r="D660" i="7"/>
  <c r="B660" i="7"/>
  <c r="D659" i="7"/>
  <c r="B659" i="7"/>
  <c r="D658" i="7"/>
  <c r="B658" i="7"/>
  <c r="D657" i="7"/>
  <c r="B657" i="7"/>
  <c r="D656" i="7"/>
  <c r="B656" i="7"/>
  <c r="D655" i="7"/>
  <c r="B655" i="7"/>
  <c r="D654" i="7"/>
  <c r="B654" i="7"/>
  <c r="D653" i="7"/>
  <c r="B653" i="7"/>
  <c r="D652" i="7"/>
  <c r="B652" i="7"/>
  <c r="D651" i="7"/>
  <c r="B651" i="7"/>
  <c r="D650" i="7"/>
  <c r="B650" i="7"/>
  <c r="D649" i="7"/>
  <c r="B649" i="7"/>
  <c r="D648" i="7"/>
  <c r="B648" i="7"/>
  <c r="D647" i="7"/>
  <c r="B647" i="7"/>
  <c r="D646" i="7"/>
  <c r="B646" i="7"/>
  <c r="D645" i="7"/>
  <c r="B645" i="7"/>
  <c r="D644" i="7"/>
  <c r="B644" i="7"/>
  <c r="D643" i="7"/>
  <c r="B643" i="7"/>
  <c r="D642" i="7"/>
  <c r="B642" i="7"/>
  <c r="D641" i="7"/>
  <c r="B641" i="7"/>
  <c r="D640" i="7"/>
  <c r="B640" i="7"/>
  <c r="D639" i="7"/>
  <c r="B639" i="7"/>
  <c r="D638" i="7"/>
  <c r="B638" i="7"/>
  <c r="D637" i="7"/>
  <c r="B637" i="7"/>
  <c r="D636" i="7"/>
  <c r="B636" i="7"/>
  <c r="D635" i="7"/>
  <c r="B635" i="7"/>
  <c r="D634" i="7"/>
  <c r="B634" i="7"/>
  <c r="D633" i="7"/>
  <c r="B633" i="7"/>
  <c r="D632" i="7"/>
  <c r="B632" i="7"/>
  <c r="D631" i="7"/>
  <c r="B631" i="7"/>
  <c r="D630" i="7"/>
  <c r="B630" i="7"/>
  <c r="D629" i="7"/>
  <c r="B629" i="7"/>
  <c r="D628" i="7"/>
  <c r="B628" i="7"/>
  <c r="D627" i="7"/>
  <c r="B627" i="7"/>
  <c r="D626" i="7"/>
  <c r="B626" i="7"/>
  <c r="D624" i="7"/>
  <c r="B624" i="7"/>
  <c r="D623" i="7"/>
  <c r="B623" i="7"/>
  <c r="D622" i="7"/>
  <c r="B622" i="7"/>
  <c r="D621" i="7"/>
  <c r="B621" i="7"/>
  <c r="D620" i="7"/>
  <c r="B620" i="7"/>
  <c r="D619" i="7"/>
  <c r="B619" i="7"/>
  <c r="D122" i="7"/>
  <c r="CD618" i="7"/>
  <c r="D618" i="7"/>
  <c r="B618" i="7"/>
  <c r="D617" i="7"/>
  <c r="B617" i="7"/>
  <c r="CD616" i="7"/>
  <c r="D616" i="7"/>
  <c r="B616" i="7"/>
  <c r="CD615" i="7"/>
  <c r="D615" i="7"/>
  <c r="B615" i="7"/>
  <c r="D614" i="7"/>
  <c r="B614" i="7"/>
  <c r="D613" i="7"/>
  <c r="B613" i="7"/>
  <c r="D612" i="7"/>
  <c r="B612" i="7"/>
  <c r="D611" i="7"/>
  <c r="B611" i="7"/>
  <c r="D610" i="7"/>
  <c r="B610" i="7"/>
  <c r="D609" i="7"/>
  <c r="B609" i="7"/>
  <c r="D608" i="7"/>
  <c r="B608" i="7"/>
  <c r="D607" i="7"/>
  <c r="B607" i="7"/>
  <c r="D606" i="7"/>
  <c r="B606" i="7"/>
  <c r="D605" i="7"/>
  <c r="B605" i="7"/>
  <c r="D604" i="7"/>
  <c r="B604" i="7"/>
  <c r="D603" i="7"/>
  <c r="B603" i="7"/>
  <c r="D602" i="7"/>
  <c r="B602" i="7"/>
  <c r="D601" i="7"/>
  <c r="B601" i="7"/>
  <c r="D600" i="7"/>
  <c r="B600" i="7"/>
  <c r="D599" i="7"/>
  <c r="B599" i="7"/>
  <c r="D598" i="7"/>
  <c r="B598" i="7"/>
  <c r="D597" i="7"/>
  <c r="B597" i="7"/>
  <c r="D596" i="7"/>
  <c r="B596" i="7"/>
  <c r="D595" i="7"/>
  <c r="B595" i="7"/>
  <c r="D594" i="7"/>
  <c r="B594" i="7"/>
  <c r="D593" i="7"/>
  <c r="B593" i="7"/>
  <c r="D592" i="7"/>
  <c r="B592" i="7"/>
  <c r="D591" i="7"/>
  <c r="B591" i="7"/>
  <c r="D590" i="7"/>
  <c r="B590" i="7"/>
  <c r="D589" i="7"/>
  <c r="B589" i="7"/>
  <c r="D588" i="7"/>
  <c r="B588" i="7"/>
  <c r="D587" i="7"/>
  <c r="B587" i="7"/>
  <c r="D586" i="7"/>
  <c r="B586" i="7"/>
  <c r="D585" i="7"/>
  <c r="B585" i="7"/>
  <c r="D584" i="7"/>
  <c r="B584" i="7"/>
  <c r="D583" i="7"/>
  <c r="B583" i="7"/>
  <c r="D582" i="7"/>
  <c r="B582" i="7"/>
  <c r="D581" i="7"/>
  <c r="B581" i="7"/>
  <c r="D580" i="7"/>
  <c r="B580" i="7"/>
  <c r="D579" i="7"/>
  <c r="B579" i="7"/>
  <c r="D578" i="7"/>
  <c r="B578" i="7"/>
  <c r="D577" i="7"/>
  <c r="B577" i="7"/>
  <c r="D576" i="7"/>
  <c r="B576" i="7"/>
  <c r="D575" i="7"/>
  <c r="B575" i="7"/>
  <c r="D574" i="7"/>
  <c r="B574" i="7"/>
  <c r="D573" i="7"/>
  <c r="B573" i="7"/>
  <c r="D572" i="7"/>
  <c r="B572" i="7"/>
  <c r="D571" i="7"/>
  <c r="B571" i="7"/>
  <c r="D570" i="7"/>
  <c r="B570" i="7"/>
  <c r="D569" i="7"/>
  <c r="B569" i="7"/>
  <c r="D568" i="7"/>
  <c r="B568" i="7"/>
  <c r="D567" i="7"/>
  <c r="B567" i="7"/>
  <c r="D566" i="7"/>
  <c r="B566" i="7"/>
  <c r="D565" i="7"/>
  <c r="B565" i="7"/>
  <c r="D564" i="7"/>
  <c r="B564" i="7"/>
  <c r="D563" i="7"/>
  <c r="B563" i="7"/>
  <c r="D562" i="7"/>
  <c r="B562" i="7"/>
  <c r="D561" i="7"/>
  <c r="B561" i="7"/>
  <c r="D560" i="7"/>
  <c r="B560" i="7"/>
  <c r="D559" i="7"/>
  <c r="B559" i="7"/>
  <c r="D558" i="7"/>
  <c r="B558" i="7"/>
  <c r="D557" i="7"/>
  <c r="B557" i="7"/>
  <c r="D556" i="7"/>
  <c r="B556" i="7"/>
  <c r="D555" i="7"/>
  <c r="B555" i="7"/>
  <c r="D554" i="7"/>
  <c r="B554" i="7"/>
  <c r="D553" i="7"/>
  <c r="B553" i="7"/>
  <c r="D552" i="7"/>
  <c r="B552" i="7"/>
  <c r="AE551" i="7"/>
  <c r="AD551" i="7"/>
  <c r="AC551" i="7"/>
  <c r="AB551" i="7"/>
  <c r="AA551" i="7"/>
  <c r="Z551" i="7"/>
  <c r="Y551" i="7"/>
  <c r="X551" i="7"/>
  <c r="W551" i="7"/>
  <c r="V551" i="7"/>
  <c r="U551" i="7"/>
  <c r="T551" i="7"/>
  <c r="S551" i="7"/>
  <c r="R551" i="7"/>
  <c r="Q551" i="7"/>
  <c r="P551" i="7"/>
  <c r="O551" i="7"/>
  <c r="N551" i="7"/>
  <c r="M551" i="7"/>
  <c r="L551" i="7"/>
  <c r="K551" i="7"/>
  <c r="J551" i="7"/>
  <c r="I551" i="7"/>
  <c r="H551" i="7"/>
  <c r="G551" i="7"/>
  <c r="F551" i="7"/>
  <c r="E551" i="7"/>
  <c r="CD549" i="7"/>
  <c r="AC549" i="7"/>
  <c r="B549" i="7"/>
  <c r="AE548" i="7"/>
  <c r="AD548" i="7"/>
  <c r="AB548" i="7"/>
  <c r="AA548" i="7"/>
  <c r="Z548" i="7"/>
  <c r="Y548" i="7"/>
  <c r="X548" i="7"/>
  <c r="W548" i="7"/>
  <c r="V548" i="7"/>
  <c r="U548" i="7"/>
  <c r="T548" i="7"/>
  <c r="S548" i="7"/>
  <c r="R548" i="7"/>
  <c r="Q548" i="7"/>
  <c r="P548" i="7"/>
  <c r="O548" i="7"/>
  <c r="N548" i="7"/>
  <c r="M548" i="7"/>
  <c r="L548" i="7"/>
  <c r="K548" i="7"/>
  <c r="J548" i="7"/>
  <c r="I548" i="7"/>
  <c r="H548" i="7"/>
  <c r="G548" i="7"/>
  <c r="F548" i="7"/>
  <c r="E548" i="7"/>
  <c r="P547" i="7"/>
  <c r="AC547" i="7" s="1"/>
  <c r="D547" i="7" s="1"/>
  <c r="B547" i="7"/>
  <c r="AC546" i="7"/>
  <c r="D546" i="7" s="1"/>
  <c r="B546" i="7"/>
  <c r="AC545" i="7"/>
  <c r="D545" i="7" s="1"/>
  <c r="B545" i="7"/>
  <c r="AE544" i="7"/>
  <c r="AD544" i="7"/>
  <c r="AB544" i="7"/>
  <c r="AA544" i="7"/>
  <c r="Z544" i="7"/>
  <c r="Y544" i="7"/>
  <c r="X544" i="7"/>
  <c r="W544" i="7"/>
  <c r="V544" i="7"/>
  <c r="U544" i="7"/>
  <c r="T544" i="7"/>
  <c r="S544" i="7"/>
  <c r="R544" i="7"/>
  <c r="Q544" i="7"/>
  <c r="O544" i="7"/>
  <c r="N544" i="7"/>
  <c r="M544" i="7"/>
  <c r="L544" i="7"/>
  <c r="K544" i="7"/>
  <c r="J544" i="7"/>
  <c r="I544" i="7"/>
  <c r="H544" i="7"/>
  <c r="G544" i="7"/>
  <c r="F544" i="7"/>
  <c r="E544" i="7"/>
  <c r="AC543" i="7"/>
  <c r="D543" i="7" s="1"/>
  <c r="B543" i="7"/>
  <c r="AC542" i="7"/>
  <c r="D542" i="7" s="1"/>
  <c r="B542" i="7"/>
  <c r="AC541" i="7"/>
  <c r="D541" i="7" s="1"/>
  <c r="B541" i="7"/>
  <c r="CD540" i="7"/>
  <c r="AC540" i="7"/>
  <c r="D540" i="7" s="1"/>
  <c r="B540" i="7"/>
  <c r="AC539" i="7"/>
  <c r="B539" i="7"/>
  <c r="AE538" i="7"/>
  <c r="AD538" i="7"/>
  <c r="AB538" i="7"/>
  <c r="AA538" i="7"/>
  <c r="Z538" i="7"/>
  <c r="Y538" i="7"/>
  <c r="X538" i="7"/>
  <c r="W538" i="7"/>
  <c r="V538" i="7"/>
  <c r="U538" i="7"/>
  <c r="T538" i="7"/>
  <c r="S538" i="7"/>
  <c r="R538" i="7"/>
  <c r="Q538" i="7"/>
  <c r="P538" i="7"/>
  <c r="O538" i="7"/>
  <c r="N538" i="7"/>
  <c r="M538" i="7"/>
  <c r="L538" i="7"/>
  <c r="K538" i="7"/>
  <c r="J538" i="7"/>
  <c r="I538" i="7"/>
  <c r="H538" i="7"/>
  <c r="G538" i="7"/>
  <c r="F538" i="7"/>
  <c r="E538" i="7"/>
  <c r="AC537" i="7"/>
  <c r="D537" i="7" s="1"/>
  <c r="B537" i="7"/>
  <c r="G536" i="7"/>
  <c r="AC536" i="7" s="1"/>
  <c r="D536" i="7" s="1"/>
  <c r="B536" i="7"/>
  <c r="AC535" i="7"/>
  <c r="D535" i="7" s="1"/>
  <c r="B535" i="7"/>
  <c r="AC534" i="7"/>
  <c r="D534" i="7" s="1"/>
  <c r="B534" i="7"/>
  <c r="AC533" i="7"/>
  <c r="D533" i="7" s="1"/>
  <c r="B533" i="7"/>
  <c r="AC532" i="7"/>
  <c r="D532" i="7" s="1"/>
  <c r="B532" i="7"/>
  <c r="G531" i="7"/>
  <c r="AC531" i="7" s="1"/>
  <c r="D531" i="7" s="1"/>
  <c r="B531" i="7"/>
  <c r="CD530" i="7"/>
  <c r="AC530" i="7"/>
  <c r="D530" i="7" s="1"/>
  <c r="B530" i="7"/>
  <c r="AE529" i="7"/>
  <c r="AD529" i="7"/>
  <c r="AB529" i="7"/>
  <c r="AA529" i="7"/>
  <c r="Z529" i="7"/>
  <c r="Y529" i="7"/>
  <c r="X529" i="7"/>
  <c r="W529" i="7"/>
  <c r="V529" i="7"/>
  <c r="U529" i="7"/>
  <c r="T529" i="7"/>
  <c r="S529" i="7"/>
  <c r="R529" i="7"/>
  <c r="Q529" i="7"/>
  <c r="P529" i="7"/>
  <c r="O529" i="7"/>
  <c r="N529" i="7"/>
  <c r="M529" i="7"/>
  <c r="L529" i="7"/>
  <c r="K529" i="7"/>
  <c r="J529" i="7"/>
  <c r="I529" i="7"/>
  <c r="H529" i="7"/>
  <c r="F529" i="7"/>
  <c r="E529" i="7"/>
  <c r="CD528" i="7"/>
  <c r="N528" i="7"/>
  <c r="AC528" i="7" s="1"/>
  <c r="AC527" i="7" s="1"/>
  <c r="B528" i="7"/>
  <c r="AE527" i="7"/>
  <c r="AD527" i="7"/>
  <c r="AB527" i="7"/>
  <c r="AA527" i="7"/>
  <c r="Z527" i="7"/>
  <c r="Y527" i="7"/>
  <c r="X527" i="7"/>
  <c r="W527" i="7"/>
  <c r="V527" i="7"/>
  <c r="U527" i="7"/>
  <c r="T527" i="7"/>
  <c r="S527" i="7"/>
  <c r="R527" i="7"/>
  <c r="Q527" i="7"/>
  <c r="P527" i="7"/>
  <c r="O527" i="7"/>
  <c r="M527" i="7"/>
  <c r="L527" i="7"/>
  <c r="K527" i="7"/>
  <c r="J527" i="7"/>
  <c r="I527" i="7"/>
  <c r="H527" i="7"/>
  <c r="G527" i="7"/>
  <c r="F527" i="7"/>
  <c r="E527" i="7"/>
  <c r="R526" i="7"/>
  <c r="R524" i="7" s="1"/>
  <c r="B526" i="7"/>
  <c r="CD525" i="7"/>
  <c r="N524" i="7"/>
  <c r="B525" i="7"/>
  <c r="AE524" i="7"/>
  <c r="AD524" i="7"/>
  <c r="AB524" i="7"/>
  <c r="AA524" i="7"/>
  <c r="Z524" i="7"/>
  <c r="Y524" i="7"/>
  <c r="X524" i="7"/>
  <c r="W524" i="7"/>
  <c r="V524" i="7"/>
  <c r="U524" i="7"/>
  <c r="T524" i="7"/>
  <c r="S524" i="7"/>
  <c r="Q524" i="7"/>
  <c r="P524" i="7"/>
  <c r="O524" i="7"/>
  <c r="M524" i="7"/>
  <c r="L524" i="7"/>
  <c r="K524" i="7"/>
  <c r="J524" i="7"/>
  <c r="I524" i="7"/>
  <c r="H524" i="7"/>
  <c r="G524" i="7"/>
  <c r="F524" i="7"/>
  <c r="E524" i="7"/>
  <c r="CD523" i="7"/>
  <c r="AC523" i="7"/>
  <c r="D523" i="7" s="1"/>
  <c r="D522" i="7" s="1"/>
  <c r="CB522" i="7" s="1"/>
  <c r="B523" i="7"/>
  <c r="AE522" i="7"/>
  <c r="AD522" i="7"/>
  <c r="AB522" i="7"/>
  <c r="AA522" i="7"/>
  <c r="Z522" i="7"/>
  <c r="Y522" i="7"/>
  <c r="X522" i="7"/>
  <c r="W522" i="7"/>
  <c r="V522" i="7"/>
  <c r="U522" i="7"/>
  <c r="T522" i="7"/>
  <c r="S522" i="7"/>
  <c r="R522" i="7"/>
  <c r="Q522" i="7"/>
  <c r="P522" i="7"/>
  <c r="O522" i="7"/>
  <c r="N522" i="7"/>
  <c r="M522" i="7"/>
  <c r="L522" i="7"/>
  <c r="K522" i="7"/>
  <c r="J522" i="7"/>
  <c r="I522" i="7"/>
  <c r="H522" i="7"/>
  <c r="G522" i="7"/>
  <c r="F522" i="7"/>
  <c r="E522" i="7"/>
  <c r="AC521" i="7"/>
  <c r="D521" i="7" s="1"/>
  <c r="B521" i="7"/>
  <c r="AC520" i="7"/>
  <c r="D520" i="7" s="1"/>
  <c r="B520" i="7"/>
  <c r="CD519" i="7"/>
  <c r="AC519" i="7"/>
  <c r="D519" i="7" s="1"/>
  <c r="B519" i="7"/>
  <c r="CD518" i="7"/>
  <c r="AC518" i="7"/>
  <c r="D518" i="7" s="1"/>
  <c r="B518" i="7"/>
  <c r="N517" i="7"/>
  <c r="AC517" i="7" s="1"/>
  <c r="B517" i="7"/>
  <c r="CD516" i="7"/>
  <c r="AC516" i="7"/>
  <c r="D516" i="7" s="1"/>
  <c r="B516" i="7"/>
  <c r="AE515" i="7"/>
  <c r="AD515" i="7"/>
  <c r="AB515" i="7"/>
  <c r="AA515" i="7"/>
  <c r="Z515" i="7"/>
  <c r="Y515" i="7"/>
  <c r="X515" i="7"/>
  <c r="W515" i="7"/>
  <c r="V515" i="7"/>
  <c r="U515" i="7"/>
  <c r="T515" i="7"/>
  <c r="S515" i="7"/>
  <c r="R515" i="7"/>
  <c r="Q515" i="7"/>
  <c r="P515" i="7"/>
  <c r="O515" i="7"/>
  <c r="M515" i="7"/>
  <c r="L515" i="7"/>
  <c r="K515" i="7"/>
  <c r="J515" i="7"/>
  <c r="I515" i="7"/>
  <c r="H515" i="7"/>
  <c r="G515" i="7"/>
  <c r="F515" i="7"/>
  <c r="E515" i="7"/>
  <c r="G514" i="7"/>
  <c r="AC514" i="7" s="1"/>
  <c r="B514" i="7"/>
  <c r="AE513" i="7"/>
  <c r="AD513" i="7"/>
  <c r="AB513" i="7"/>
  <c r="AA513" i="7"/>
  <c r="Z513" i="7"/>
  <c r="Y513" i="7"/>
  <c r="X513" i="7"/>
  <c r="W513" i="7"/>
  <c r="V513" i="7"/>
  <c r="U513" i="7"/>
  <c r="T513" i="7"/>
  <c r="S513" i="7"/>
  <c r="R513" i="7"/>
  <c r="Q513" i="7"/>
  <c r="P513" i="7"/>
  <c r="O513" i="7"/>
  <c r="N513" i="7"/>
  <c r="M513" i="7"/>
  <c r="L513" i="7"/>
  <c r="K513" i="7"/>
  <c r="J513" i="7"/>
  <c r="I513" i="7"/>
  <c r="H513" i="7"/>
  <c r="F513" i="7"/>
  <c r="E513" i="7"/>
  <c r="N511" i="7"/>
  <c r="B512" i="7"/>
  <c r="AE511" i="7"/>
  <c r="AD511" i="7"/>
  <c r="AB511" i="7"/>
  <c r="AA511" i="7"/>
  <c r="Z511" i="7"/>
  <c r="Y511" i="7"/>
  <c r="X511" i="7"/>
  <c r="W511" i="7"/>
  <c r="V511" i="7"/>
  <c r="U511" i="7"/>
  <c r="T511" i="7"/>
  <c r="S511" i="7"/>
  <c r="R511" i="7"/>
  <c r="Q511" i="7"/>
  <c r="P511" i="7"/>
  <c r="O511" i="7"/>
  <c r="M511" i="7"/>
  <c r="L511" i="7"/>
  <c r="K511" i="7"/>
  <c r="J511" i="7"/>
  <c r="I511" i="7"/>
  <c r="H511" i="7"/>
  <c r="G511" i="7"/>
  <c r="F511" i="7"/>
  <c r="E511" i="7"/>
  <c r="AC510" i="7"/>
  <c r="D510" i="7" s="1"/>
  <c r="B510" i="7"/>
  <c r="AC509" i="7"/>
  <c r="D509" i="7" s="1"/>
  <c r="B509" i="7"/>
  <c r="AE508" i="7"/>
  <c r="AD508" i="7"/>
  <c r="AB508" i="7"/>
  <c r="AA508" i="7"/>
  <c r="Z508" i="7"/>
  <c r="Y508" i="7"/>
  <c r="X508" i="7"/>
  <c r="W508" i="7"/>
  <c r="V508" i="7"/>
  <c r="U508" i="7"/>
  <c r="T508" i="7"/>
  <c r="S508" i="7"/>
  <c r="R508" i="7"/>
  <c r="Q508" i="7"/>
  <c r="P508" i="7"/>
  <c r="O508" i="7"/>
  <c r="N508" i="7"/>
  <c r="M508" i="7"/>
  <c r="L508" i="7"/>
  <c r="K508" i="7"/>
  <c r="J508" i="7"/>
  <c r="I508" i="7"/>
  <c r="H508" i="7"/>
  <c r="G508" i="7"/>
  <c r="F508" i="7"/>
  <c r="E508" i="7"/>
  <c r="AC507" i="7"/>
  <c r="D507" i="7" s="1"/>
  <c r="D506" i="7" s="1"/>
  <c r="CB506" i="7" s="1"/>
  <c r="B507" i="7"/>
  <c r="AE506" i="7"/>
  <c r="AD506" i="7"/>
  <c r="AB506" i="7"/>
  <c r="AA506" i="7"/>
  <c r="Z506" i="7"/>
  <c r="Y506" i="7"/>
  <c r="X506" i="7"/>
  <c r="W506" i="7"/>
  <c r="V506" i="7"/>
  <c r="U506" i="7"/>
  <c r="T506" i="7"/>
  <c r="S506" i="7"/>
  <c r="R506" i="7"/>
  <c r="Q506" i="7"/>
  <c r="P506" i="7"/>
  <c r="O506" i="7"/>
  <c r="N506" i="7"/>
  <c r="M506" i="7"/>
  <c r="L506" i="7"/>
  <c r="K506" i="7"/>
  <c r="J506" i="7"/>
  <c r="I506" i="7"/>
  <c r="H506" i="7"/>
  <c r="G506" i="7"/>
  <c r="F506" i="7"/>
  <c r="E506" i="7"/>
  <c r="CD505" i="7"/>
  <c r="AD504" i="7"/>
  <c r="AC505" i="7"/>
  <c r="B505" i="7"/>
  <c r="AE504" i="7"/>
  <c r="AB504" i="7"/>
  <c r="AA504" i="7"/>
  <c r="Z504" i="7"/>
  <c r="Y504" i="7"/>
  <c r="X504" i="7"/>
  <c r="W504" i="7"/>
  <c r="V504" i="7"/>
  <c r="U504" i="7"/>
  <c r="T504" i="7"/>
  <c r="S504" i="7"/>
  <c r="R504" i="7"/>
  <c r="Q504" i="7"/>
  <c r="P504" i="7"/>
  <c r="O504" i="7"/>
  <c r="N504" i="7"/>
  <c r="M504" i="7"/>
  <c r="L504" i="7"/>
  <c r="K504" i="7"/>
  <c r="J504" i="7"/>
  <c r="I504" i="7"/>
  <c r="H504" i="7"/>
  <c r="G504" i="7"/>
  <c r="F504" i="7"/>
  <c r="E504" i="7"/>
  <c r="CD503" i="7"/>
  <c r="AC503" i="7"/>
  <c r="D503" i="7" s="1"/>
  <c r="B503" i="7"/>
  <c r="AC502" i="7"/>
  <c r="D502" i="7" s="1"/>
  <c r="B502" i="7"/>
  <c r="AC501" i="7"/>
  <c r="D501" i="7" s="1"/>
  <c r="B501" i="7"/>
  <c r="AC500" i="7"/>
  <c r="D500" i="7" s="1"/>
  <c r="B500" i="7"/>
  <c r="AC499" i="7"/>
  <c r="D499" i="7" s="1"/>
  <c r="B499" i="7"/>
  <c r="AE498" i="7"/>
  <c r="AD498" i="7"/>
  <c r="AB498" i="7"/>
  <c r="AA498" i="7"/>
  <c r="Z498" i="7"/>
  <c r="Y498" i="7"/>
  <c r="X498" i="7"/>
  <c r="W498" i="7"/>
  <c r="V498" i="7"/>
  <c r="U498" i="7"/>
  <c r="T498" i="7"/>
  <c r="S498" i="7"/>
  <c r="R498" i="7"/>
  <c r="Q498" i="7"/>
  <c r="P498" i="7"/>
  <c r="O498" i="7"/>
  <c r="M498" i="7"/>
  <c r="L498" i="7"/>
  <c r="K498" i="7"/>
  <c r="J498" i="7"/>
  <c r="I498" i="7"/>
  <c r="H498" i="7"/>
  <c r="G498" i="7"/>
  <c r="F498" i="7"/>
  <c r="E498" i="7"/>
  <c r="R497" i="7"/>
  <c r="R496" i="7" s="1"/>
  <c r="B497" i="7"/>
  <c r="AE496" i="7"/>
  <c r="AD496" i="7"/>
  <c r="AB496" i="7"/>
  <c r="AA496" i="7"/>
  <c r="Z496" i="7"/>
  <c r="Y496" i="7"/>
  <c r="X496" i="7"/>
  <c r="W496" i="7"/>
  <c r="V496" i="7"/>
  <c r="U496" i="7"/>
  <c r="T496" i="7"/>
  <c r="S496" i="7"/>
  <c r="Q496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CD495" i="7"/>
  <c r="N494" i="7"/>
  <c r="B495" i="7"/>
  <c r="AE494" i="7"/>
  <c r="AD494" i="7"/>
  <c r="AB494" i="7"/>
  <c r="AA494" i="7"/>
  <c r="Z494" i="7"/>
  <c r="Y494" i="7"/>
  <c r="X494" i="7"/>
  <c r="W494" i="7"/>
  <c r="V494" i="7"/>
  <c r="U494" i="7"/>
  <c r="T494" i="7"/>
  <c r="S494" i="7"/>
  <c r="R494" i="7"/>
  <c r="Q494" i="7"/>
  <c r="P494" i="7"/>
  <c r="O494" i="7"/>
  <c r="M494" i="7"/>
  <c r="L494" i="7"/>
  <c r="K494" i="7"/>
  <c r="J494" i="7"/>
  <c r="I494" i="7"/>
  <c r="H494" i="7"/>
  <c r="G494" i="7"/>
  <c r="F494" i="7"/>
  <c r="E494" i="7"/>
  <c r="AC493" i="7"/>
  <c r="D493" i="7" s="1"/>
  <c r="B493" i="7"/>
  <c r="AC492" i="7"/>
  <c r="D492" i="7" s="1"/>
  <c r="B492" i="7"/>
  <c r="CD491" i="7"/>
  <c r="N491" i="7"/>
  <c r="N485" i="7" s="1"/>
  <c r="B491" i="7"/>
  <c r="CD490" i="7"/>
  <c r="AC490" i="7"/>
  <c r="D490" i="7" s="1"/>
  <c r="B490" i="7"/>
  <c r="CD489" i="7"/>
  <c r="AC489" i="7"/>
  <c r="D489" i="7" s="1"/>
  <c r="B489" i="7"/>
  <c r="AT488" i="7"/>
  <c r="AC488" i="7"/>
  <c r="D488" i="7" s="1"/>
  <c r="B488" i="7"/>
  <c r="AC487" i="7"/>
  <c r="D487" i="7" s="1"/>
  <c r="B487" i="7"/>
  <c r="CD486" i="7"/>
  <c r="AC486" i="7"/>
  <c r="B486" i="7"/>
  <c r="AE485" i="7"/>
  <c r="AD485" i="7"/>
  <c r="AB485" i="7"/>
  <c r="AA485" i="7"/>
  <c r="Z485" i="7"/>
  <c r="Y485" i="7"/>
  <c r="X485" i="7"/>
  <c r="W485" i="7"/>
  <c r="V485" i="7"/>
  <c r="U485" i="7"/>
  <c r="T485" i="7"/>
  <c r="S485" i="7"/>
  <c r="R485" i="7"/>
  <c r="Q485" i="7"/>
  <c r="P485" i="7"/>
  <c r="O485" i="7"/>
  <c r="M485" i="7"/>
  <c r="L485" i="7"/>
  <c r="K485" i="7"/>
  <c r="J485" i="7"/>
  <c r="I485" i="7"/>
  <c r="H485" i="7"/>
  <c r="F485" i="7"/>
  <c r="E485" i="7"/>
  <c r="CD484" i="7"/>
  <c r="AC484" i="7"/>
  <c r="D484" i="7" s="1"/>
  <c r="B484" i="7"/>
  <c r="CD483" i="7"/>
  <c r="AC483" i="7"/>
  <c r="D483" i="7" s="1"/>
  <c r="B483" i="7"/>
  <c r="N482" i="7"/>
  <c r="AC482" i="7" s="1"/>
  <c r="D482" i="7" s="1"/>
  <c r="B482" i="7"/>
  <c r="CD481" i="7"/>
  <c r="AC481" i="7"/>
  <c r="D481" i="7" s="1"/>
  <c r="B481" i="7"/>
  <c r="CD480" i="7"/>
  <c r="AC480" i="7"/>
  <c r="D480" i="7" s="1"/>
  <c r="B480" i="7"/>
  <c r="AC479" i="7"/>
  <c r="D479" i="7" s="1"/>
  <c r="B479" i="7"/>
  <c r="AC478" i="7"/>
  <c r="D478" i="7" s="1"/>
  <c r="B478" i="7"/>
  <c r="AC477" i="7"/>
  <c r="D477" i="7" s="1"/>
  <c r="B477" i="7"/>
  <c r="CD476" i="7"/>
  <c r="AC476" i="7"/>
  <c r="D476" i="7" s="1"/>
  <c r="B476" i="7"/>
  <c r="N475" i="7"/>
  <c r="B475" i="7"/>
  <c r="CD474" i="7"/>
  <c r="AC474" i="7"/>
  <c r="D474" i="7" s="1"/>
  <c r="B474" i="7"/>
  <c r="AE473" i="7"/>
  <c r="AD473" i="7"/>
  <c r="AB473" i="7"/>
  <c r="AA473" i="7"/>
  <c r="Z473" i="7"/>
  <c r="Y473" i="7"/>
  <c r="X473" i="7"/>
  <c r="W473" i="7"/>
  <c r="V473" i="7"/>
  <c r="U473" i="7"/>
  <c r="T473" i="7"/>
  <c r="S473" i="7"/>
  <c r="R473" i="7"/>
  <c r="Q473" i="7"/>
  <c r="P473" i="7"/>
  <c r="O473" i="7"/>
  <c r="M473" i="7"/>
  <c r="L473" i="7"/>
  <c r="K473" i="7"/>
  <c r="J473" i="7"/>
  <c r="I473" i="7"/>
  <c r="H473" i="7"/>
  <c r="G473" i="7"/>
  <c r="F473" i="7"/>
  <c r="E473" i="7"/>
  <c r="N472" i="7"/>
  <c r="AC472" i="7" s="1"/>
  <c r="D472" i="7" s="1"/>
  <c r="B472" i="7"/>
  <c r="CD471" i="7"/>
  <c r="AC471" i="7"/>
  <c r="D471" i="7" s="1"/>
  <c r="B471" i="7"/>
  <c r="AD470" i="7"/>
  <c r="AD467" i="7" s="1"/>
  <c r="R470" i="7"/>
  <c r="AC470" i="7" s="1"/>
  <c r="B470" i="7"/>
  <c r="CD469" i="7"/>
  <c r="N469" i="7"/>
  <c r="AC469" i="7" s="1"/>
  <c r="D469" i="7" s="1"/>
  <c r="B469" i="7"/>
  <c r="AC468" i="7"/>
  <c r="D468" i="7" s="1"/>
  <c r="B468" i="7"/>
  <c r="AE467" i="7"/>
  <c r="AB467" i="7"/>
  <c r="AA467" i="7"/>
  <c r="Z467" i="7"/>
  <c r="Y467" i="7"/>
  <c r="X467" i="7"/>
  <c r="W467" i="7"/>
  <c r="V467" i="7"/>
  <c r="U467" i="7"/>
  <c r="T467" i="7"/>
  <c r="S467" i="7"/>
  <c r="Q467" i="7"/>
  <c r="P467" i="7"/>
  <c r="O467" i="7"/>
  <c r="M467" i="7"/>
  <c r="L467" i="7"/>
  <c r="K467" i="7"/>
  <c r="J467" i="7"/>
  <c r="I467" i="7"/>
  <c r="H467" i="7"/>
  <c r="G467" i="7"/>
  <c r="F467" i="7"/>
  <c r="E467" i="7"/>
  <c r="AC466" i="7"/>
  <c r="D466" i="7" s="1"/>
  <c r="D465" i="7" s="1"/>
  <c r="B466" i="7"/>
  <c r="AE465" i="7"/>
  <c r="AD465" i="7"/>
  <c r="AB465" i="7"/>
  <c r="AA465" i="7"/>
  <c r="Z465" i="7"/>
  <c r="Y465" i="7"/>
  <c r="X465" i="7"/>
  <c r="W465" i="7"/>
  <c r="V465" i="7"/>
  <c r="U465" i="7"/>
  <c r="T465" i="7"/>
  <c r="S465" i="7"/>
  <c r="R465" i="7"/>
  <c r="Q465" i="7"/>
  <c r="P465" i="7"/>
  <c r="O465" i="7"/>
  <c r="N465" i="7"/>
  <c r="M465" i="7"/>
  <c r="L465" i="7"/>
  <c r="K465" i="7"/>
  <c r="J465" i="7"/>
  <c r="I465" i="7"/>
  <c r="H465" i="7"/>
  <c r="G465" i="7"/>
  <c r="F465" i="7"/>
  <c r="E465" i="7"/>
  <c r="AD464" i="7"/>
  <c r="AD463" i="7" s="1"/>
  <c r="AC464" i="7"/>
  <c r="B464" i="7"/>
  <c r="AE463" i="7"/>
  <c r="AB463" i="7"/>
  <c r="AA463" i="7"/>
  <c r="Z463" i="7"/>
  <c r="Y463" i="7"/>
  <c r="X463" i="7"/>
  <c r="W463" i="7"/>
  <c r="V463" i="7"/>
  <c r="U463" i="7"/>
  <c r="T463" i="7"/>
  <c r="S463" i="7"/>
  <c r="R463" i="7"/>
  <c r="Q463" i="7"/>
  <c r="P463" i="7"/>
  <c r="O463" i="7"/>
  <c r="N463" i="7"/>
  <c r="M463" i="7"/>
  <c r="L463" i="7"/>
  <c r="K463" i="7"/>
  <c r="J463" i="7"/>
  <c r="I463" i="7"/>
  <c r="H463" i="7"/>
  <c r="G463" i="7"/>
  <c r="F463" i="7"/>
  <c r="E463" i="7"/>
  <c r="CD462" i="7"/>
  <c r="N461" i="7"/>
  <c r="B462" i="7"/>
  <c r="AE461" i="7"/>
  <c r="AD461" i="7"/>
  <c r="AB461" i="7"/>
  <c r="AA461" i="7"/>
  <c r="Z461" i="7"/>
  <c r="Y461" i="7"/>
  <c r="X461" i="7"/>
  <c r="W461" i="7"/>
  <c r="V461" i="7"/>
  <c r="U461" i="7"/>
  <c r="T461" i="7"/>
  <c r="S461" i="7"/>
  <c r="R461" i="7"/>
  <c r="Q461" i="7"/>
  <c r="P461" i="7"/>
  <c r="O461" i="7"/>
  <c r="M461" i="7"/>
  <c r="L461" i="7"/>
  <c r="K461" i="7"/>
  <c r="J461" i="7"/>
  <c r="I461" i="7"/>
  <c r="H461" i="7"/>
  <c r="G461" i="7"/>
  <c r="F461" i="7"/>
  <c r="E461" i="7"/>
  <c r="CD460" i="7"/>
  <c r="AC460" i="7"/>
  <c r="D460" i="7" s="1"/>
  <c r="D459" i="7" s="1"/>
  <c r="B460" i="7"/>
  <c r="AE459" i="7"/>
  <c r="AD459" i="7"/>
  <c r="AB459" i="7"/>
  <c r="AA459" i="7"/>
  <c r="Z459" i="7"/>
  <c r="Y459" i="7"/>
  <c r="X459" i="7"/>
  <c r="W459" i="7"/>
  <c r="V459" i="7"/>
  <c r="U459" i="7"/>
  <c r="T459" i="7"/>
  <c r="S459" i="7"/>
  <c r="R459" i="7"/>
  <c r="Q459" i="7"/>
  <c r="P459" i="7"/>
  <c r="O459" i="7"/>
  <c r="N459" i="7"/>
  <c r="M459" i="7"/>
  <c r="L459" i="7"/>
  <c r="K459" i="7"/>
  <c r="J459" i="7"/>
  <c r="I459" i="7"/>
  <c r="H459" i="7"/>
  <c r="G459" i="7"/>
  <c r="F459" i="7"/>
  <c r="E459" i="7"/>
  <c r="CD458" i="7"/>
  <c r="N458" i="7"/>
  <c r="AC458" i="7" s="1"/>
  <c r="B458" i="7"/>
  <c r="AE457" i="7"/>
  <c r="AD457" i="7"/>
  <c r="AB457" i="7"/>
  <c r="AA457" i="7"/>
  <c r="Z457" i="7"/>
  <c r="Y457" i="7"/>
  <c r="X457" i="7"/>
  <c r="W457" i="7"/>
  <c r="V457" i="7"/>
  <c r="U457" i="7"/>
  <c r="T457" i="7"/>
  <c r="S457" i="7"/>
  <c r="R457" i="7"/>
  <c r="Q457" i="7"/>
  <c r="P457" i="7"/>
  <c r="O457" i="7"/>
  <c r="M457" i="7"/>
  <c r="L457" i="7"/>
  <c r="K457" i="7"/>
  <c r="J457" i="7"/>
  <c r="I457" i="7"/>
  <c r="H457" i="7"/>
  <c r="G457" i="7"/>
  <c r="F457" i="7"/>
  <c r="E457" i="7"/>
  <c r="CD456" i="7"/>
  <c r="D456" i="7"/>
  <c r="D455" i="7" s="1"/>
  <c r="B456" i="7"/>
  <c r="CD454" i="7"/>
  <c r="N454" i="7"/>
  <c r="AC454" i="7" s="1"/>
  <c r="D454" i="7" s="1"/>
  <c r="D453" i="7" s="1"/>
  <c r="B454" i="7"/>
  <c r="AE453" i="7"/>
  <c r="AD453" i="7"/>
  <c r="AB453" i="7"/>
  <c r="AA453" i="7"/>
  <c r="Z453" i="7"/>
  <c r="Y453" i="7"/>
  <c r="X453" i="7"/>
  <c r="W453" i="7"/>
  <c r="V453" i="7"/>
  <c r="U453" i="7"/>
  <c r="T453" i="7"/>
  <c r="S453" i="7"/>
  <c r="R453" i="7"/>
  <c r="Q453" i="7"/>
  <c r="P453" i="7"/>
  <c r="O453" i="7"/>
  <c r="M453" i="7"/>
  <c r="L453" i="7"/>
  <c r="K453" i="7"/>
  <c r="J453" i="7"/>
  <c r="I453" i="7"/>
  <c r="H453" i="7"/>
  <c r="G453" i="7"/>
  <c r="F453" i="7"/>
  <c r="E453" i="7"/>
  <c r="CD452" i="7"/>
  <c r="AC452" i="7"/>
  <c r="D452" i="7" s="1"/>
  <c r="B452" i="7"/>
  <c r="CD451" i="7"/>
  <c r="AC451" i="7"/>
  <c r="D451" i="7" s="1"/>
  <c r="B451" i="7"/>
  <c r="AC450" i="7"/>
  <c r="D450" i="7" s="1"/>
  <c r="B450" i="7"/>
  <c r="CD449" i="7"/>
  <c r="AC449" i="7"/>
  <c r="D449" i="7" s="1"/>
  <c r="B449" i="7"/>
  <c r="CD448" i="7"/>
  <c r="AC448" i="7"/>
  <c r="D448" i="7" s="1"/>
  <c r="B448" i="7"/>
  <c r="D447" i="7"/>
  <c r="B447" i="7"/>
  <c r="AT446" i="7"/>
  <c r="AC446" i="7"/>
  <c r="D446" i="7" s="1"/>
  <c r="B446" i="7"/>
  <c r="B445" i="7"/>
  <c r="AC444" i="7"/>
  <c r="D444" i="7" s="1"/>
  <c r="B444" i="7"/>
  <c r="AE443" i="7"/>
  <c r="AD443" i="7"/>
  <c r="AB443" i="7"/>
  <c r="AA443" i="7"/>
  <c r="Z443" i="7"/>
  <c r="Y443" i="7"/>
  <c r="X443" i="7"/>
  <c r="W443" i="7"/>
  <c r="V443" i="7"/>
  <c r="U443" i="7"/>
  <c r="T443" i="7"/>
  <c r="S443" i="7"/>
  <c r="R443" i="7"/>
  <c r="Q443" i="7"/>
  <c r="P443" i="7"/>
  <c r="O443" i="7"/>
  <c r="M443" i="7"/>
  <c r="L443" i="7"/>
  <c r="K443" i="7"/>
  <c r="J443" i="7"/>
  <c r="I443" i="7"/>
  <c r="H443" i="7"/>
  <c r="G443" i="7"/>
  <c r="F443" i="7"/>
  <c r="E443" i="7"/>
  <c r="CD442" i="7"/>
  <c r="D442" i="7"/>
  <c r="B442" i="7"/>
  <c r="CD441" i="7"/>
  <c r="AC441" i="7"/>
  <c r="AC440" i="7" s="1"/>
  <c r="B441" i="7"/>
  <c r="AE440" i="7"/>
  <c r="AD440" i="7"/>
  <c r="AB440" i="7"/>
  <c r="AA440" i="7"/>
  <c r="Z440" i="7"/>
  <c r="Y440" i="7"/>
  <c r="X440" i="7"/>
  <c r="W440" i="7"/>
  <c r="V440" i="7"/>
  <c r="U440" i="7"/>
  <c r="T440" i="7"/>
  <c r="S440" i="7"/>
  <c r="R440" i="7"/>
  <c r="Q440" i="7"/>
  <c r="P440" i="7"/>
  <c r="O440" i="7"/>
  <c r="N440" i="7"/>
  <c r="M440" i="7"/>
  <c r="L440" i="7"/>
  <c r="K440" i="7"/>
  <c r="J440" i="7"/>
  <c r="I440" i="7"/>
  <c r="H440" i="7"/>
  <c r="G440" i="7"/>
  <c r="F440" i="7"/>
  <c r="E440" i="7"/>
  <c r="CD439" i="7"/>
  <c r="AC439" i="7"/>
  <c r="D439" i="7" s="1"/>
  <c r="B439" i="7"/>
  <c r="AC438" i="7"/>
  <c r="D438" i="7" s="1"/>
  <c r="B438" i="7"/>
  <c r="CD437" i="7"/>
  <c r="D437" i="7"/>
  <c r="B437" i="7"/>
  <c r="CD436" i="7"/>
  <c r="D436" i="7"/>
  <c r="B436" i="7"/>
  <c r="CD435" i="7"/>
  <c r="D435" i="7"/>
  <c r="B435" i="7"/>
  <c r="AE434" i="7"/>
  <c r="AD434" i="7"/>
  <c r="AB434" i="7"/>
  <c r="AA434" i="7"/>
  <c r="Z434" i="7"/>
  <c r="Y434" i="7"/>
  <c r="X434" i="7"/>
  <c r="W434" i="7"/>
  <c r="V434" i="7"/>
  <c r="U434" i="7"/>
  <c r="T434" i="7"/>
  <c r="S434" i="7"/>
  <c r="R434" i="7"/>
  <c r="Q434" i="7"/>
  <c r="P434" i="7"/>
  <c r="O434" i="7"/>
  <c r="N434" i="7"/>
  <c r="M434" i="7"/>
  <c r="L434" i="7"/>
  <c r="K434" i="7"/>
  <c r="J434" i="7"/>
  <c r="I434" i="7"/>
  <c r="H434" i="7"/>
  <c r="G434" i="7"/>
  <c r="F434" i="7"/>
  <c r="E434" i="7"/>
  <c r="AC433" i="7"/>
  <c r="D433" i="7" s="1"/>
  <c r="B433" i="7"/>
  <c r="AC432" i="7"/>
  <c r="D432" i="7" s="1"/>
  <c r="B432" i="7"/>
  <c r="AC431" i="7"/>
  <c r="D431" i="7" s="1"/>
  <c r="B431" i="7"/>
  <c r="AC430" i="7"/>
  <c r="D430" i="7" s="1"/>
  <c r="B430" i="7"/>
  <c r="AC429" i="7"/>
  <c r="B429" i="7"/>
  <c r="AC428" i="7"/>
  <c r="D428" i="7" s="1"/>
  <c r="B428" i="7"/>
  <c r="AC427" i="7"/>
  <c r="D427" i="7" s="1"/>
  <c r="B427" i="7"/>
  <c r="AE426" i="7"/>
  <c r="AD426" i="7"/>
  <c r="AB426" i="7"/>
  <c r="AA426" i="7"/>
  <c r="Z426" i="7"/>
  <c r="Y426" i="7"/>
  <c r="X426" i="7"/>
  <c r="W426" i="7"/>
  <c r="V426" i="7"/>
  <c r="U426" i="7"/>
  <c r="T426" i="7"/>
  <c r="S426" i="7"/>
  <c r="R426" i="7"/>
  <c r="Q426" i="7"/>
  <c r="P426" i="7"/>
  <c r="O426" i="7"/>
  <c r="N426" i="7"/>
  <c r="M426" i="7"/>
  <c r="L426" i="7"/>
  <c r="K426" i="7"/>
  <c r="J426" i="7"/>
  <c r="I426" i="7"/>
  <c r="H426" i="7"/>
  <c r="F426" i="7"/>
  <c r="E426" i="7"/>
  <c r="AC425" i="7"/>
  <c r="D425" i="7" s="1"/>
  <c r="B425" i="7"/>
  <c r="AC424" i="7"/>
  <c r="D424" i="7" s="1"/>
  <c r="B424" i="7"/>
  <c r="AC423" i="7"/>
  <c r="D423" i="7" s="1"/>
  <c r="B423" i="7"/>
  <c r="AC422" i="7"/>
  <c r="D422" i="7" s="1"/>
  <c r="N421" i="7"/>
  <c r="B422" i="7"/>
  <c r="AE421" i="7"/>
  <c r="AD421" i="7"/>
  <c r="AB421" i="7"/>
  <c r="AA421" i="7"/>
  <c r="Z421" i="7"/>
  <c r="Y421" i="7"/>
  <c r="X421" i="7"/>
  <c r="W421" i="7"/>
  <c r="V421" i="7"/>
  <c r="U421" i="7"/>
  <c r="T421" i="7"/>
  <c r="S421" i="7"/>
  <c r="R421" i="7"/>
  <c r="Q421" i="7"/>
  <c r="P421" i="7"/>
  <c r="O421" i="7"/>
  <c r="M421" i="7"/>
  <c r="L421" i="7"/>
  <c r="K421" i="7"/>
  <c r="J421" i="7"/>
  <c r="I421" i="7"/>
  <c r="H421" i="7"/>
  <c r="G421" i="7"/>
  <c r="F421" i="7"/>
  <c r="E421" i="7"/>
  <c r="N420" i="7"/>
  <c r="N419" i="7" s="1"/>
  <c r="B420" i="7"/>
  <c r="AE419" i="7"/>
  <c r="AD419" i="7"/>
  <c r="AB419" i="7"/>
  <c r="AA419" i="7"/>
  <c r="Z419" i="7"/>
  <c r="Y419" i="7"/>
  <c r="X419" i="7"/>
  <c r="W419" i="7"/>
  <c r="V419" i="7"/>
  <c r="U419" i="7"/>
  <c r="T419" i="7"/>
  <c r="S419" i="7"/>
  <c r="R419" i="7"/>
  <c r="Q419" i="7"/>
  <c r="P419" i="7"/>
  <c r="O419" i="7"/>
  <c r="M419" i="7"/>
  <c r="L419" i="7"/>
  <c r="K419" i="7"/>
  <c r="J419" i="7"/>
  <c r="I419" i="7"/>
  <c r="H419" i="7"/>
  <c r="G419" i="7"/>
  <c r="F419" i="7"/>
  <c r="E419" i="7"/>
  <c r="CD418" i="7"/>
  <c r="N418" i="7"/>
  <c r="AC418" i="7" s="1"/>
  <c r="D418" i="7" s="1"/>
  <c r="B418" i="7"/>
  <c r="CD417" i="7"/>
  <c r="U413" i="7"/>
  <c r="B417" i="7"/>
  <c r="CD416" i="7"/>
  <c r="AC416" i="7"/>
  <c r="D416" i="7" s="1"/>
  <c r="B416" i="7"/>
  <c r="CD415" i="7"/>
  <c r="AC415" i="7"/>
  <c r="B415" i="7"/>
  <c r="CD414" i="7"/>
  <c r="N414" i="7"/>
  <c r="B414" i="7"/>
  <c r="AE413" i="7"/>
  <c r="AD413" i="7"/>
  <c r="AB413" i="7"/>
  <c r="AA413" i="7"/>
  <c r="Z413" i="7"/>
  <c r="Y413" i="7"/>
  <c r="X413" i="7"/>
  <c r="W413" i="7"/>
  <c r="V413" i="7"/>
  <c r="T413" i="7"/>
  <c r="S413" i="7"/>
  <c r="R413" i="7"/>
  <c r="Q413" i="7"/>
  <c r="P413" i="7"/>
  <c r="O413" i="7"/>
  <c r="M413" i="7"/>
  <c r="L413" i="7"/>
  <c r="K413" i="7"/>
  <c r="J413" i="7"/>
  <c r="I413" i="7"/>
  <c r="H413" i="7"/>
  <c r="G413" i="7"/>
  <c r="F413" i="7"/>
  <c r="E413" i="7"/>
  <c r="AC412" i="7"/>
  <c r="B412" i="7"/>
  <c r="AE411" i="7"/>
  <c r="AD411" i="7"/>
  <c r="AB411" i="7"/>
  <c r="AA411" i="7"/>
  <c r="Z411" i="7"/>
  <c r="Y411" i="7"/>
  <c r="X411" i="7"/>
  <c r="W411" i="7"/>
  <c r="V411" i="7"/>
  <c r="U411" i="7"/>
  <c r="T411" i="7"/>
  <c r="S411" i="7"/>
  <c r="R411" i="7"/>
  <c r="Q411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AC410" i="7"/>
  <c r="D410" i="7" s="1"/>
  <c r="D409" i="7" s="1"/>
  <c r="B410" i="7"/>
  <c r="AE409" i="7"/>
  <c r="AD409" i="7"/>
  <c r="AB409" i="7"/>
  <c r="AA409" i="7"/>
  <c r="Z409" i="7"/>
  <c r="Y409" i="7"/>
  <c r="X409" i="7"/>
  <c r="W409" i="7"/>
  <c r="V409" i="7"/>
  <c r="U409" i="7"/>
  <c r="T409" i="7"/>
  <c r="S409" i="7"/>
  <c r="R409" i="7"/>
  <c r="Q409" i="7"/>
  <c r="P409" i="7"/>
  <c r="O409" i="7"/>
  <c r="N409" i="7"/>
  <c r="M409" i="7"/>
  <c r="L409" i="7"/>
  <c r="K409" i="7"/>
  <c r="J409" i="7"/>
  <c r="I409" i="7"/>
  <c r="H409" i="7"/>
  <c r="G409" i="7"/>
  <c r="F409" i="7"/>
  <c r="E409" i="7"/>
  <c r="CD408" i="7"/>
  <c r="AC408" i="7"/>
  <c r="D408" i="7" s="1"/>
  <c r="B408" i="7"/>
  <c r="CD407" i="7"/>
  <c r="AC407" i="7"/>
  <c r="D407" i="7" s="1"/>
  <c r="B407" i="7"/>
  <c r="AC406" i="7"/>
  <c r="D406" i="7" s="1"/>
  <c r="B406" i="7"/>
  <c r="AC405" i="7"/>
  <c r="D405" i="7" s="1"/>
  <c r="B405" i="7"/>
  <c r="AC404" i="7"/>
  <c r="D404" i="7" s="1"/>
  <c r="B404" i="7"/>
  <c r="AE403" i="7"/>
  <c r="AD403" i="7"/>
  <c r="AB403" i="7"/>
  <c r="AA403" i="7"/>
  <c r="Z403" i="7"/>
  <c r="Y403" i="7"/>
  <c r="X403" i="7"/>
  <c r="W403" i="7"/>
  <c r="V403" i="7"/>
  <c r="U403" i="7"/>
  <c r="T403" i="7"/>
  <c r="S403" i="7"/>
  <c r="R403" i="7"/>
  <c r="Q403" i="7"/>
  <c r="P403" i="7"/>
  <c r="O403" i="7"/>
  <c r="N403" i="7"/>
  <c r="M403" i="7"/>
  <c r="L403" i="7"/>
  <c r="K403" i="7"/>
  <c r="J403" i="7"/>
  <c r="I403" i="7"/>
  <c r="H403" i="7"/>
  <c r="G403" i="7"/>
  <c r="F403" i="7"/>
  <c r="E403" i="7"/>
  <c r="AC402" i="7"/>
  <c r="B402" i="7"/>
  <c r="AE401" i="7"/>
  <c r="AD401" i="7"/>
  <c r="AB401" i="7"/>
  <c r="AA401" i="7"/>
  <c r="Z401" i="7"/>
  <c r="Y401" i="7"/>
  <c r="X401" i="7"/>
  <c r="W401" i="7"/>
  <c r="V401" i="7"/>
  <c r="U401" i="7"/>
  <c r="T401" i="7"/>
  <c r="S401" i="7"/>
  <c r="R401" i="7"/>
  <c r="Q401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AC400" i="7"/>
  <c r="D400" i="7" s="1"/>
  <c r="B400" i="7"/>
  <c r="AC399" i="7"/>
  <c r="D399" i="7" s="1"/>
  <c r="B399" i="7"/>
  <c r="AC398" i="7"/>
  <c r="D398" i="7" s="1"/>
  <c r="B398" i="7"/>
  <c r="AC397" i="7"/>
  <c r="B397" i="7"/>
  <c r="AE396" i="7"/>
  <c r="AD396" i="7"/>
  <c r="AB396" i="7"/>
  <c r="AA396" i="7"/>
  <c r="Z396" i="7"/>
  <c r="Y396" i="7"/>
  <c r="X396" i="7"/>
  <c r="W396" i="7"/>
  <c r="V396" i="7"/>
  <c r="U396" i="7"/>
  <c r="T396" i="7"/>
  <c r="S396" i="7"/>
  <c r="R396" i="7"/>
  <c r="Q396" i="7"/>
  <c r="P396" i="7"/>
  <c r="O396" i="7"/>
  <c r="N396" i="7"/>
  <c r="M396" i="7"/>
  <c r="L396" i="7"/>
  <c r="K396" i="7"/>
  <c r="J396" i="7"/>
  <c r="I396" i="7"/>
  <c r="H396" i="7"/>
  <c r="G396" i="7"/>
  <c r="F396" i="7"/>
  <c r="E396" i="7"/>
  <c r="CD395" i="7"/>
  <c r="AC395" i="7"/>
  <c r="D395" i="7" s="1"/>
  <c r="D394" i="7" s="1"/>
  <c r="B395" i="7"/>
  <c r="AE394" i="7"/>
  <c r="AD394" i="7"/>
  <c r="AB394" i="7"/>
  <c r="AA394" i="7"/>
  <c r="Z394" i="7"/>
  <c r="Y394" i="7"/>
  <c r="X394" i="7"/>
  <c r="W394" i="7"/>
  <c r="V394" i="7"/>
  <c r="U394" i="7"/>
  <c r="T394" i="7"/>
  <c r="S394" i="7"/>
  <c r="R394" i="7"/>
  <c r="Q394" i="7"/>
  <c r="P394" i="7"/>
  <c r="O394" i="7"/>
  <c r="N394" i="7"/>
  <c r="M394" i="7"/>
  <c r="L394" i="7"/>
  <c r="K394" i="7"/>
  <c r="J394" i="7"/>
  <c r="I394" i="7"/>
  <c r="H394" i="7"/>
  <c r="G394" i="7"/>
  <c r="F394" i="7"/>
  <c r="E394" i="7"/>
  <c r="AC393" i="7"/>
  <c r="D393" i="7" s="1"/>
  <c r="B393" i="7"/>
  <c r="CD392" i="7"/>
  <c r="AC392" i="7"/>
  <c r="B392" i="7"/>
  <c r="AE391" i="7"/>
  <c r="AD391" i="7"/>
  <c r="AB391" i="7"/>
  <c r="AA391" i="7"/>
  <c r="Z391" i="7"/>
  <c r="Y391" i="7"/>
  <c r="X391" i="7"/>
  <c r="W391" i="7"/>
  <c r="V391" i="7"/>
  <c r="U391" i="7"/>
  <c r="T391" i="7"/>
  <c r="S391" i="7"/>
  <c r="R391" i="7"/>
  <c r="Q391" i="7"/>
  <c r="P391" i="7"/>
  <c r="O391" i="7"/>
  <c r="N391" i="7"/>
  <c r="M391" i="7"/>
  <c r="L391" i="7"/>
  <c r="K391" i="7"/>
  <c r="J391" i="7"/>
  <c r="I391" i="7"/>
  <c r="H391" i="7"/>
  <c r="G391" i="7"/>
  <c r="F391" i="7"/>
  <c r="E391" i="7"/>
  <c r="AC390" i="7"/>
  <c r="D390" i="7" s="1"/>
  <c r="B390" i="7"/>
  <c r="AC389" i="7"/>
  <c r="D389" i="7" s="1"/>
  <c r="B389" i="7"/>
  <c r="R386" i="7"/>
  <c r="B388" i="7"/>
  <c r="CD387" i="7"/>
  <c r="N386" i="7"/>
  <c r="B387" i="7"/>
  <c r="AE386" i="7"/>
  <c r="AD386" i="7"/>
  <c r="AB386" i="7"/>
  <c r="AA386" i="7"/>
  <c r="Z386" i="7"/>
  <c r="Y386" i="7"/>
  <c r="X386" i="7"/>
  <c r="W386" i="7"/>
  <c r="V386" i="7"/>
  <c r="U386" i="7"/>
  <c r="T386" i="7"/>
  <c r="S386" i="7"/>
  <c r="Q386" i="7"/>
  <c r="P386" i="7"/>
  <c r="O386" i="7"/>
  <c r="M386" i="7"/>
  <c r="L386" i="7"/>
  <c r="K386" i="7"/>
  <c r="J386" i="7"/>
  <c r="I386" i="7"/>
  <c r="H386" i="7"/>
  <c r="G386" i="7"/>
  <c r="F386" i="7"/>
  <c r="E386" i="7"/>
  <c r="AC385" i="7"/>
  <c r="B385" i="7"/>
  <c r="AE384" i="7"/>
  <c r="AD384" i="7"/>
  <c r="AB384" i="7"/>
  <c r="AA384" i="7"/>
  <c r="Z384" i="7"/>
  <c r="Y384" i="7"/>
  <c r="X384" i="7"/>
  <c r="W384" i="7"/>
  <c r="V384" i="7"/>
  <c r="U384" i="7"/>
  <c r="T384" i="7"/>
  <c r="S384" i="7"/>
  <c r="R384" i="7"/>
  <c r="Q384" i="7"/>
  <c r="P384" i="7"/>
  <c r="O384" i="7"/>
  <c r="M384" i="7"/>
  <c r="L384" i="7"/>
  <c r="K384" i="7"/>
  <c r="J384" i="7"/>
  <c r="I384" i="7"/>
  <c r="H384" i="7"/>
  <c r="G384" i="7"/>
  <c r="F384" i="7"/>
  <c r="E384" i="7"/>
  <c r="CD383" i="7"/>
  <c r="AC383" i="7"/>
  <c r="B383" i="7"/>
  <c r="AE382" i="7"/>
  <c r="AD382" i="7"/>
  <c r="AB382" i="7"/>
  <c r="AA382" i="7"/>
  <c r="Z382" i="7"/>
  <c r="Y382" i="7"/>
  <c r="X382" i="7"/>
  <c r="W382" i="7"/>
  <c r="V382" i="7"/>
  <c r="U382" i="7"/>
  <c r="T382" i="7"/>
  <c r="S382" i="7"/>
  <c r="R382" i="7"/>
  <c r="Q382" i="7"/>
  <c r="P382" i="7"/>
  <c r="O382" i="7"/>
  <c r="N382" i="7"/>
  <c r="M382" i="7"/>
  <c r="L382" i="7"/>
  <c r="K382" i="7"/>
  <c r="J382" i="7"/>
  <c r="I382" i="7"/>
  <c r="H382" i="7"/>
  <c r="G382" i="7"/>
  <c r="F382" i="7"/>
  <c r="E382" i="7"/>
  <c r="AC381" i="7"/>
  <c r="D381" i="7" s="1"/>
  <c r="B381" i="7"/>
  <c r="CD380" i="7"/>
  <c r="AC380" i="7"/>
  <c r="D380" i="7" s="1"/>
  <c r="B380" i="7"/>
  <c r="AE379" i="7"/>
  <c r="AD379" i="7"/>
  <c r="AB379" i="7"/>
  <c r="AA379" i="7"/>
  <c r="Z379" i="7"/>
  <c r="Y379" i="7"/>
  <c r="X379" i="7"/>
  <c r="W379" i="7"/>
  <c r="V379" i="7"/>
  <c r="U379" i="7"/>
  <c r="T379" i="7"/>
  <c r="S379" i="7"/>
  <c r="R379" i="7"/>
  <c r="Q379" i="7"/>
  <c r="P379" i="7"/>
  <c r="O379" i="7"/>
  <c r="N379" i="7"/>
  <c r="M379" i="7"/>
  <c r="L379" i="7"/>
  <c r="K379" i="7"/>
  <c r="J379" i="7"/>
  <c r="I379" i="7"/>
  <c r="H379" i="7"/>
  <c r="G379" i="7"/>
  <c r="F379" i="7"/>
  <c r="E379" i="7"/>
  <c r="CD378" i="7"/>
  <c r="AC378" i="7"/>
  <c r="D378" i="7" s="1"/>
  <c r="B378" i="7"/>
  <c r="CD377" i="7"/>
  <c r="AC377" i="7"/>
  <c r="D377" i="7" s="1"/>
  <c r="B377" i="7"/>
  <c r="CD376" i="7"/>
  <c r="AC376" i="7"/>
  <c r="D376" i="7" s="1"/>
  <c r="B376" i="7"/>
  <c r="AC375" i="7"/>
  <c r="D375" i="7" s="1"/>
  <c r="B375" i="7"/>
  <c r="CD374" i="7"/>
  <c r="AC374" i="7"/>
  <c r="D374" i="7" s="1"/>
  <c r="B374" i="7"/>
  <c r="CD373" i="7"/>
  <c r="AC373" i="7"/>
  <c r="D373" i="7" s="1"/>
  <c r="B373" i="7"/>
  <c r="CD372" i="7"/>
  <c r="AC372" i="7"/>
  <c r="D372" i="7" s="1"/>
  <c r="B372" i="7"/>
  <c r="AC371" i="7"/>
  <c r="D371" i="7" s="1"/>
  <c r="B371" i="7"/>
  <c r="AC370" i="7"/>
  <c r="D370" i="7" s="1"/>
  <c r="B370" i="7"/>
  <c r="AC369" i="7"/>
  <c r="D369" i="7" s="1"/>
  <c r="B369" i="7"/>
  <c r="CD368" i="7"/>
  <c r="AC368" i="7"/>
  <c r="D368" i="7" s="1"/>
  <c r="B368" i="7"/>
  <c r="CD367" i="7"/>
  <c r="AC367" i="7"/>
  <c r="D367" i="7" s="1"/>
  <c r="B367" i="7"/>
  <c r="AC366" i="7"/>
  <c r="D366" i="7" s="1"/>
  <c r="B366" i="7"/>
  <c r="AC365" i="7"/>
  <c r="B365" i="7"/>
  <c r="AC364" i="7"/>
  <c r="D364" i="7" s="1"/>
  <c r="B364" i="7"/>
  <c r="AE363" i="7"/>
  <c r="AD363" i="7"/>
  <c r="AB363" i="7"/>
  <c r="AA363" i="7"/>
  <c r="Z363" i="7"/>
  <c r="Y363" i="7"/>
  <c r="X363" i="7"/>
  <c r="W363" i="7"/>
  <c r="V363" i="7"/>
  <c r="U363" i="7"/>
  <c r="T363" i="7"/>
  <c r="S363" i="7"/>
  <c r="R363" i="7"/>
  <c r="Q363" i="7"/>
  <c r="P363" i="7"/>
  <c r="O363" i="7"/>
  <c r="N363" i="7"/>
  <c r="M363" i="7"/>
  <c r="L363" i="7"/>
  <c r="K363" i="7"/>
  <c r="J363" i="7"/>
  <c r="I363" i="7"/>
  <c r="H363" i="7"/>
  <c r="F363" i="7"/>
  <c r="E363" i="7"/>
  <c r="AC362" i="7"/>
  <c r="D362" i="7" s="1"/>
  <c r="D361" i="7" s="1"/>
  <c r="B362" i="7"/>
  <c r="AE361" i="7"/>
  <c r="AD361" i="7"/>
  <c r="AB361" i="7"/>
  <c r="AA361" i="7"/>
  <c r="Z361" i="7"/>
  <c r="Y361" i="7"/>
  <c r="X361" i="7"/>
  <c r="W361" i="7"/>
  <c r="V361" i="7"/>
  <c r="U361" i="7"/>
  <c r="T361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CD360" i="7"/>
  <c r="N360" i="7"/>
  <c r="AC360" i="7" s="1"/>
  <c r="D360" i="7" s="1"/>
  <c r="B360" i="7"/>
  <c r="AC359" i="7"/>
  <c r="D359" i="7" s="1"/>
  <c r="B359" i="7"/>
  <c r="N358" i="7"/>
  <c r="B358" i="7"/>
  <c r="AE357" i="7"/>
  <c r="AD357" i="7"/>
  <c r="AB357" i="7"/>
  <c r="AA357" i="7"/>
  <c r="Z357" i="7"/>
  <c r="Y357" i="7"/>
  <c r="X357" i="7"/>
  <c r="W357" i="7"/>
  <c r="V357" i="7"/>
  <c r="U357" i="7"/>
  <c r="T357" i="7"/>
  <c r="S357" i="7"/>
  <c r="R357" i="7"/>
  <c r="Q357" i="7"/>
  <c r="P357" i="7"/>
  <c r="O357" i="7"/>
  <c r="M357" i="7"/>
  <c r="L357" i="7"/>
  <c r="K357" i="7"/>
  <c r="J357" i="7"/>
  <c r="I357" i="7"/>
  <c r="H357" i="7"/>
  <c r="G357" i="7"/>
  <c r="F357" i="7"/>
  <c r="E357" i="7"/>
  <c r="AC356" i="7"/>
  <c r="D356" i="7" s="1"/>
  <c r="B356" i="7"/>
  <c r="D355" i="7"/>
  <c r="B355" i="7"/>
  <c r="AC354" i="7"/>
  <c r="D354" i="7" s="1"/>
  <c r="B354" i="7"/>
  <c r="AE353" i="7"/>
  <c r="AD353" i="7"/>
  <c r="AB353" i="7"/>
  <c r="AA353" i="7"/>
  <c r="Z353" i="7"/>
  <c r="Y353" i="7"/>
  <c r="X353" i="7"/>
  <c r="W353" i="7"/>
  <c r="V353" i="7"/>
  <c r="U353" i="7"/>
  <c r="T353" i="7"/>
  <c r="S353" i="7"/>
  <c r="R353" i="7"/>
  <c r="Q353" i="7"/>
  <c r="P353" i="7"/>
  <c r="O353" i="7"/>
  <c r="N353" i="7"/>
  <c r="M353" i="7"/>
  <c r="L353" i="7"/>
  <c r="K353" i="7"/>
  <c r="J353" i="7"/>
  <c r="I353" i="7"/>
  <c r="H353" i="7"/>
  <c r="G353" i="7"/>
  <c r="F353" i="7"/>
  <c r="E353" i="7"/>
  <c r="CD352" i="7"/>
  <c r="AC352" i="7"/>
  <c r="D352" i="7" s="1"/>
  <c r="B352" i="7"/>
  <c r="CD351" i="7"/>
  <c r="AC351" i="7"/>
  <c r="D351" i="7" s="1"/>
  <c r="B351" i="7"/>
  <c r="AE350" i="7"/>
  <c r="AD350" i="7"/>
  <c r="AB350" i="7"/>
  <c r="AA350" i="7"/>
  <c r="Z350" i="7"/>
  <c r="Y350" i="7"/>
  <c r="X350" i="7"/>
  <c r="W350" i="7"/>
  <c r="V350" i="7"/>
  <c r="U350" i="7"/>
  <c r="T350" i="7"/>
  <c r="S350" i="7"/>
  <c r="R350" i="7"/>
  <c r="Q350" i="7"/>
  <c r="P350" i="7"/>
  <c r="O350" i="7"/>
  <c r="N350" i="7"/>
  <c r="M350" i="7"/>
  <c r="L350" i="7"/>
  <c r="K350" i="7"/>
  <c r="J350" i="7"/>
  <c r="I350" i="7"/>
  <c r="H350" i="7"/>
  <c r="G350" i="7"/>
  <c r="F350" i="7"/>
  <c r="E350" i="7"/>
  <c r="AC349" i="7"/>
  <c r="D349" i="7" s="1"/>
  <c r="B349" i="7"/>
  <c r="AC348" i="7"/>
  <c r="D348" i="7" s="1"/>
  <c r="B348" i="7"/>
  <c r="AC347" i="7"/>
  <c r="D347" i="7" s="1"/>
  <c r="B347" i="7"/>
  <c r="AE346" i="7"/>
  <c r="AD346" i="7"/>
  <c r="AB346" i="7"/>
  <c r="AA346" i="7"/>
  <c r="Z346" i="7"/>
  <c r="Y346" i="7"/>
  <c r="X346" i="7"/>
  <c r="W346" i="7"/>
  <c r="V346" i="7"/>
  <c r="U346" i="7"/>
  <c r="T346" i="7"/>
  <c r="S346" i="7"/>
  <c r="R346" i="7"/>
  <c r="Q346" i="7"/>
  <c r="P346" i="7"/>
  <c r="O346" i="7"/>
  <c r="N346" i="7"/>
  <c r="M346" i="7"/>
  <c r="L346" i="7"/>
  <c r="K346" i="7"/>
  <c r="J346" i="7"/>
  <c r="I346" i="7"/>
  <c r="H346" i="7"/>
  <c r="G346" i="7"/>
  <c r="F346" i="7"/>
  <c r="E346" i="7"/>
  <c r="CD345" i="7"/>
  <c r="AC345" i="7"/>
  <c r="D345" i="7" s="1"/>
  <c r="B345" i="7"/>
  <c r="CD344" i="7"/>
  <c r="AC344" i="7"/>
  <c r="D344" i="7" s="1"/>
  <c r="B344" i="7"/>
  <c r="AC343" i="7"/>
  <c r="D343" i="7" s="1"/>
  <c r="B343" i="7"/>
  <c r="AC342" i="7"/>
  <c r="B342" i="7"/>
  <c r="AC341" i="7"/>
  <c r="D341" i="7" s="1"/>
  <c r="B341" i="7"/>
  <c r="AE339" i="7"/>
  <c r="AD339" i="7"/>
  <c r="AB339" i="7"/>
  <c r="AA339" i="7"/>
  <c r="Z339" i="7"/>
  <c r="Y339" i="7"/>
  <c r="X339" i="7"/>
  <c r="W339" i="7"/>
  <c r="V339" i="7"/>
  <c r="U339" i="7"/>
  <c r="T339" i="7"/>
  <c r="S339" i="7"/>
  <c r="R339" i="7"/>
  <c r="Q339" i="7"/>
  <c r="P339" i="7"/>
  <c r="O339" i="7"/>
  <c r="N339" i="7"/>
  <c r="M339" i="7"/>
  <c r="L339" i="7"/>
  <c r="K339" i="7"/>
  <c r="J339" i="7"/>
  <c r="I339" i="7"/>
  <c r="H339" i="7"/>
  <c r="G339" i="7"/>
  <c r="F339" i="7"/>
  <c r="E339" i="7"/>
  <c r="AC338" i="7"/>
  <c r="D338" i="7" s="1"/>
  <c r="B338" i="7"/>
  <c r="CD337" i="7"/>
  <c r="AC337" i="7"/>
  <c r="D337" i="7" s="1"/>
  <c r="B337" i="7"/>
  <c r="CD336" i="7"/>
  <c r="AC336" i="7"/>
  <c r="D336" i="7" s="1"/>
  <c r="B336" i="7"/>
  <c r="CD335" i="7"/>
  <c r="AC335" i="7"/>
  <c r="D335" i="7" s="1"/>
  <c r="B335" i="7"/>
  <c r="CD334" i="7"/>
  <c r="AC334" i="7"/>
  <c r="D334" i="7" s="1"/>
  <c r="B334" i="7"/>
  <c r="CD333" i="7"/>
  <c r="AC333" i="7"/>
  <c r="D333" i="7" s="1"/>
  <c r="B333" i="7"/>
  <c r="AC332" i="7"/>
  <c r="D332" i="7" s="1"/>
  <c r="B332" i="7"/>
  <c r="AC331" i="7"/>
  <c r="D331" i="7" s="1"/>
  <c r="B331" i="7"/>
  <c r="AC330" i="7"/>
  <c r="D330" i="7" s="1"/>
  <c r="B330" i="7"/>
  <c r="AC329" i="7"/>
  <c r="D329" i="7" s="1"/>
  <c r="B329" i="7"/>
  <c r="AC328" i="7"/>
  <c r="D328" i="7" s="1"/>
  <c r="B328" i="7"/>
  <c r="AC327" i="7"/>
  <c r="D327" i="7" s="1"/>
  <c r="B327" i="7"/>
  <c r="AC326" i="7"/>
  <c r="D326" i="7" s="1"/>
  <c r="B326" i="7"/>
  <c r="AC325" i="7"/>
  <c r="D325" i="7" s="1"/>
  <c r="B325" i="7"/>
  <c r="R324" i="7"/>
  <c r="AC324" i="7" s="1"/>
  <c r="D324" i="7" s="1"/>
  <c r="B324" i="7"/>
  <c r="AC323" i="7"/>
  <c r="D323" i="7" s="1"/>
  <c r="B323" i="7"/>
  <c r="AE322" i="7"/>
  <c r="AD322" i="7"/>
  <c r="AB322" i="7"/>
  <c r="AA322" i="7"/>
  <c r="Z322" i="7"/>
  <c r="Y322" i="7"/>
  <c r="X322" i="7"/>
  <c r="W322" i="7"/>
  <c r="V322" i="7"/>
  <c r="U322" i="7"/>
  <c r="T322" i="7"/>
  <c r="S322" i="7"/>
  <c r="Q322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CD321" i="7"/>
  <c r="AC321" i="7"/>
  <c r="D321" i="7" s="1"/>
  <c r="B321" i="7"/>
  <c r="CD320" i="7"/>
  <c r="D320" i="7"/>
  <c r="B320" i="7"/>
  <c r="CD319" i="7"/>
  <c r="AC319" i="7"/>
  <c r="D319" i="7" s="1"/>
  <c r="B319" i="7"/>
  <c r="AC318" i="7"/>
  <c r="D318" i="7" s="1"/>
  <c r="B318" i="7"/>
  <c r="AC317" i="7"/>
  <c r="D317" i="7" s="1"/>
  <c r="B317" i="7"/>
  <c r="D316" i="7"/>
  <c r="B316" i="7"/>
  <c r="CD315" i="7"/>
  <c r="AC315" i="7"/>
  <c r="D315" i="7" s="1"/>
  <c r="B315" i="7"/>
  <c r="CD314" i="7"/>
  <c r="AC314" i="7"/>
  <c r="D314" i="7" s="1"/>
  <c r="B314" i="7"/>
  <c r="R313" i="7"/>
  <c r="R304" i="7" s="1"/>
  <c r="B313" i="7"/>
  <c r="AC312" i="7"/>
  <c r="D312" i="7" s="1"/>
  <c r="B312" i="7"/>
  <c r="N311" i="7"/>
  <c r="N304" i="7" s="1"/>
  <c r="B311" i="7"/>
  <c r="D310" i="7"/>
  <c r="B310" i="7"/>
  <c r="CD309" i="7"/>
  <c r="AC309" i="7"/>
  <c r="D309" i="7" s="1"/>
  <c r="B309" i="7"/>
  <c r="CD308" i="7"/>
  <c r="AC308" i="7"/>
  <c r="D308" i="7" s="1"/>
  <c r="B308" i="7"/>
  <c r="CD307" i="7"/>
  <c r="AC307" i="7"/>
  <c r="D307" i="7" s="1"/>
  <c r="B307" i="7"/>
  <c r="AC306" i="7"/>
  <c r="D306" i="7" s="1"/>
  <c r="B306" i="7"/>
  <c r="AC305" i="7"/>
  <c r="D305" i="7" s="1"/>
  <c r="B305" i="7"/>
  <c r="AE304" i="7"/>
  <c r="AD304" i="7"/>
  <c r="AB304" i="7"/>
  <c r="AA304" i="7"/>
  <c r="Z304" i="7"/>
  <c r="Y304" i="7"/>
  <c r="X304" i="7"/>
  <c r="W304" i="7"/>
  <c r="V304" i="7"/>
  <c r="U304" i="7"/>
  <c r="T304" i="7"/>
  <c r="S304" i="7"/>
  <c r="Q304" i="7"/>
  <c r="P304" i="7"/>
  <c r="O304" i="7"/>
  <c r="M304" i="7"/>
  <c r="L304" i="7"/>
  <c r="K304" i="7"/>
  <c r="J304" i="7"/>
  <c r="I304" i="7"/>
  <c r="H304" i="7"/>
  <c r="G304" i="7"/>
  <c r="F304" i="7"/>
  <c r="E304" i="7"/>
  <c r="N302" i="7"/>
  <c r="B303" i="7"/>
  <c r="AE302" i="7"/>
  <c r="AD302" i="7"/>
  <c r="AB302" i="7"/>
  <c r="AA302" i="7"/>
  <c r="Z302" i="7"/>
  <c r="Y302" i="7"/>
  <c r="X302" i="7"/>
  <c r="W302" i="7"/>
  <c r="V302" i="7"/>
  <c r="U302" i="7"/>
  <c r="T302" i="7"/>
  <c r="S302" i="7"/>
  <c r="R302" i="7"/>
  <c r="Q302" i="7"/>
  <c r="P302" i="7"/>
  <c r="O302" i="7"/>
  <c r="M302" i="7"/>
  <c r="L302" i="7"/>
  <c r="K302" i="7"/>
  <c r="J302" i="7"/>
  <c r="I302" i="7"/>
  <c r="H302" i="7"/>
  <c r="G302" i="7"/>
  <c r="F302" i="7"/>
  <c r="E302" i="7"/>
  <c r="AC301" i="7"/>
  <c r="D301" i="7" s="1"/>
  <c r="B301" i="7"/>
  <c r="AC300" i="7"/>
  <c r="D300" i="7" s="1"/>
  <c r="B300" i="7"/>
  <c r="AC299" i="7"/>
  <c r="D299" i="7" s="1"/>
  <c r="B299" i="7"/>
  <c r="I296" i="7"/>
  <c r="B298" i="7"/>
  <c r="AC297" i="7"/>
  <c r="D297" i="7" s="1"/>
  <c r="B297" i="7"/>
  <c r="AE296" i="7"/>
  <c r="AD296" i="7"/>
  <c r="AB296" i="7"/>
  <c r="AA296" i="7"/>
  <c r="Z296" i="7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H296" i="7"/>
  <c r="G296" i="7"/>
  <c r="F296" i="7"/>
  <c r="E296" i="7"/>
  <c r="AC295" i="7"/>
  <c r="D295" i="7" s="1"/>
  <c r="B295" i="7"/>
  <c r="AC294" i="7"/>
  <c r="D294" i="7" s="1"/>
  <c r="B294" i="7"/>
  <c r="AC293" i="7"/>
  <c r="D293" i="7" s="1"/>
  <c r="B293" i="7"/>
  <c r="AC292" i="7"/>
  <c r="D292" i="7" s="1"/>
  <c r="B292" i="7"/>
  <c r="AC291" i="7"/>
  <c r="B291" i="7"/>
  <c r="AE290" i="7"/>
  <c r="AD290" i="7"/>
  <c r="AB290" i="7"/>
  <c r="AA290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CD289" i="7"/>
  <c r="AC289" i="7"/>
  <c r="D289" i="7" s="1"/>
  <c r="B289" i="7"/>
  <c r="CD288" i="7"/>
  <c r="AC288" i="7"/>
  <c r="D288" i="7" s="1"/>
  <c r="B288" i="7"/>
  <c r="AE287" i="7"/>
  <c r="AD287" i="7"/>
  <c r="AB287" i="7"/>
  <c r="AA287" i="7"/>
  <c r="Z287" i="7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V286" i="7"/>
  <c r="V285" i="7" s="1"/>
  <c r="B286" i="7"/>
  <c r="AE285" i="7"/>
  <c r="AD285" i="7"/>
  <c r="AB285" i="7"/>
  <c r="AA285" i="7"/>
  <c r="Z285" i="7"/>
  <c r="Y285" i="7"/>
  <c r="X285" i="7"/>
  <c r="W285" i="7"/>
  <c r="U285" i="7"/>
  <c r="T285" i="7"/>
  <c r="S285" i="7"/>
  <c r="R285" i="7"/>
  <c r="Q285" i="7"/>
  <c r="P285" i="7"/>
  <c r="O285" i="7"/>
  <c r="N285" i="7"/>
  <c r="M285" i="7"/>
  <c r="L285" i="7"/>
  <c r="K285" i="7"/>
  <c r="J285" i="7"/>
  <c r="I285" i="7"/>
  <c r="H285" i="7"/>
  <c r="G285" i="7"/>
  <c r="F285" i="7"/>
  <c r="E285" i="7"/>
  <c r="CD284" i="7"/>
  <c r="N284" i="7"/>
  <c r="N280" i="7" s="1"/>
  <c r="B284" i="7"/>
  <c r="CD283" i="7"/>
  <c r="AC283" i="7"/>
  <c r="D283" i="7" s="1"/>
  <c r="B283" i="7"/>
  <c r="G282" i="7"/>
  <c r="AC282" i="7" s="1"/>
  <c r="D282" i="7" s="1"/>
  <c r="B282" i="7"/>
  <c r="AC281" i="7"/>
  <c r="D281" i="7" s="1"/>
  <c r="B281" i="7"/>
  <c r="AE280" i="7"/>
  <c r="AD280" i="7"/>
  <c r="AB280" i="7"/>
  <c r="AA280" i="7"/>
  <c r="Z280" i="7"/>
  <c r="Y280" i="7"/>
  <c r="X280" i="7"/>
  <c r="W280" i="7"/>
  <c r="V280" i="7"/>
  <c r="U280" i="7"/>
  <c r="T280" i="7"/>
  <c r="S280" i="7"/>
  <c r="R280" i="7"/>
  <c r="Q280" i="7"/>
  <c r="P280" i="7"/>
  <c r="O280" i="7"/>
  <c r="M280" i="7"/>
  <c r="L280" i="7"/>
  <c r="K280" i="7"/>
  <c r="J280" i="7"/>
  <c r="I280" i="7"/>
  <c r="H280" i="7"/>
  <c r="F280" i="7"/>
  <c r="E280" i="7"/>
  <c r="N279" i="7"/>
  <c r="N273" i="7" s="1"/>
  <c r="B279" i="7"/>
  <c r="CD278" i="7"/>
  <c r="AC278" i="7"/>
  <c r="D278" i="7" s="1"/>
  <c r="B278" i="7"/>
  <c r="R277" i="7"/>
  <c r="AC277" i="7" s="1"/>
  <c r="D277" i="7" s="1"/>
  <c r="B277" i="7"/>
  <c r="AC276" i="7"/>
  <c r="D276" i="7" s="1"/>
  <c r="B276" i="7"/>
  <c r="AC275" i="7"/>
  <c r="D275" i="7" s="1"/>
  <c r="B275" i="7"/>
  <c r="AC274" i="7"/>
  <c r="B274" i="7"/>
  <c r="AE273" i="7"/>
  <c r="AD273" i="7"/>
  <c r="AB273" i="7"/>
  <c r="AA273" i="7"/>
  <c r="Z273" i="7"/>
  <c r="Y273" i="7"/>
  <c r="X273" i="7"/>
  <c r="W273" i="7"/>
  <c r="V273" i="7"/>
  <c r="U273" i="7"/>
  <c r="T273" i="7"/>
  <c r="S273" i="7"/>
  <c r="Q273" i="7"/>
  <c r="P273" i="7"/>
  <c r="O273" i="7"/>
  <c r="M273" i="7"/>
  <c r="L273" i="7"/>
  <c r="K273" i="7"/>
  <c r="J273" i="7"/>
  <c r="I273" i="7"/>
  <c r="H273" i="7"/>
  <c r="G273" i="7"/>
  <c r="F273" i="7"/>
  <c r="E273" i="7"/>
  <c r="CD272" i="7"/>
  <c r="AC272" i="7"/>
  <c r="D272" i="7" s="1"/>
  <c r="B272" i="7"/>
  <c r="CD271" i="7"/>
  <c r="AC271" i="7"/>
  <c r="D271" i="7" s="1"/>
  <c r="B271" i="7"/>
  <c r="CD270" i="7"/>
  <c r="AC270" i="7"/>
  <c r="D270" i="7" s="1"/>
  <c r="B270" i="7"/>
  <c r="AC269" i="7"/>
  <c r="D269" i="7" s="1"/>
  <c r="B269" i="7"/>
  <c r="CD268" i="7"/>
  <c r="AC268" i="7"/>
  <c r="D268" i="7" s="1"/>
  <c r="B268" i="7"/>
  <c r="AC267" i="7"/>
  <c r="B267" i="7"/>
  <c r="AC266" i="7"/>
  <c r="D266" i="7" s="1"/>
  <c r="B266" i="7"/>
  <c r="AE265" i="7"/>
  <c r="AD265" i="7"/>
  <c r="AB265" i="7"/>
  <c r="AA265" i="7"/>
  <c r="Z265" i="7"/>
  <c r="Y265" i="7"/>
  <c r="X265" i="7"/>
  <c r="W265" i="7"/>
  <c r="V265" i="7"/>
  <c r="U265" i="7"/>
  <c r="T265" i="7"/>
  <c r="S265" i="7"/>
  <c r="R265" i="7"/>
  <c r="Q265" i="7"/>
  <c r="P265" i="7"/>
  <c r="O265" i="7"/>
  <c r="M265" i="7"/>
  <c r="L265" i="7"/>
  <c r="K265" i="7"/>
  <c r="J265" i="7"/>
  <c r="I265" i="7"/>
  <c r="H265" i="7"/>
  <c r="G265" i="7"/>
  <c r="F265" i="7"/>
  <c r="E265" i="7"/>
  <c r="AC264" i="7"/>
  <c r="D264" i="7" s="1"/>
  <c r="B264" i="7"/>
  <c r="AC263" i="7"/>
  <c r="D263" i="7" s="1"/>
  <c r="B263" i="7"/>
  <c r="N262" i="7"/>
  <c r="AC262" i="7" s="1"/>
  <c r="D262" i="7" s="1"/>
  <c r="B262" i="7"/>
  <c r="CD261" i="7"/>
  <c r="AC261" i="7"/>
  <c r="D261" i="7" s="1"/>
  <c r="B261" i="7"/>
  <c r="CD260" i="7"/>
  <c r="AC260" i="7"/>
  <c r="D260" i="7" s="1"/>
  <c r="B260" i="7"/>
  <c r="AC259" i="7"/>
  <c r="D259" i="7" s="1"/>
  <c r="B259" i="7"/>
  <c r="CD258" i="7"/>
  <c r="AC258" i="7"/>
  <c r="D258" i="7" s="1"/>
  <c r="B258" i="7"/>
  <c r="CD257" i="7"/>
  <c r="AC257" i="7"/>
  <c r="D257" i="7" s="1"/>
  <c r="B257" i="7"/>
  <c r="AC256" i="7"/>
  <c r="D256" i="7" s="1"/>
  <c r="B256" i="7"/>
  <c r="CD255" i="7"/>
  <c r="AC255" i="7"/>
  <c r="D255" i="7" s="1"/>
  <c r="B255" i="7"/>
  <c r="AC254" i="7"/>
  <c r="D254" i="7" s="1"/>
  <c r="B254" i="7"/>
  <c r="CD253" i="7"/>
  <c r="AC253" i="7"/>
  <c r="D253" i="7" s="1"/>
  <c r="B253" i="7"/>
  <c r="AC252" i="7"/>
  <c r="D252" i="7" s="1"/>
  <c r="B252" i="7"/>
  <c r="CD251" i="7"/>
  <c r="AC251" i="7"/>
  <c r="D251" i="7" s="1"/>
  <c r="B251" i="7"/>
  <c r="CD250" i="7"/>
  <c r="AC250" i="7"/>
  <c r="D250" i="7" s="1"/>
  <c r="B250" i="7"/>
  <c r="CD249" i="7"/>
  <c r="AC249" i="7"/>
  <c r="D249" i="7" s="1"/>
  <c r="B249" i="7"/>
  <c r="N248" i="7"/>
  <c r="AC248" i="7" s="1"/>
  <c r="D248" i="7" s="1"/>
  <c r="B248" i="7"/>
  <c r="CD247" i="7"/>
  <c r="AC247" i="7"/>
  <c r="D247" i="7" s="1"/>
  <c r="B247" i="7"/>
  <c r="N246" i="7"/>
  <c r="AC246" i="7" s="1"/>
  <c r="D246" i="7" s="1"/>
  <c r="B246" i="7"/>
  <c r="D245" i="7"/>
  <c r="B245" i="7"/>
  <c r="CD244" i="7"/>
  <c r="AC244" i="7"/>
  <c r="D244" i="7" s="1"/>
  <c r="B244" i="7"/>
  <c r="CD243" i="7"/>
  <c r="AC243" i="7"/>
  <c r="D243" i="7" s="1"/>
  <c r="B243" i="7"/>
  <c r="CD242" i="7"/>
  <c r="N242" i="7"/>
  <c r="AC242" i="7" s="1"/>
  <c r="D242" i="7" s="1"/>
  <c r="B242" i="7"/>
  <c r="AT241" i="7"/>
  <c r="D241" i="7"/>
  <c r="B241" i="7"/>
  <c r="B240" i="7"/>
  <c r="AC239" i="7"/>
  <c r="D239" i="7" s="1"/>
  <c r="B239" i="7"/>
  <c r="D238" i="7"/>
  <c r="B238" i="7"/>
  <c r="AE237" i="7"/>
  <c r="AD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M237" i="7"/>
  <c r="L237" i="7"/>
  <c r="K237" i="7"/>
  <c r="J237" i="7"/>
  <c r="I237" i="7"/>
  <c r="H237" i="7"/>
  <c r="G237" i="7"/>
  <c r="F237" i="7"/>
  <c r="E237" i="7"/>
  <c r="D236" i="7"/>
  <c r="B236" i="7"/>
  <c r="D235" i="7"/>
  <c r="B235" i="7"/>
  <c r="G234" i="7"/>
  <c r="AC234" i="7" s="1"/>
  <c r="D234" i="7" s="1"/>
  <c r="B234" i="7"/>
  <c r="AC233" i="7"/>
  <c r="D233" i="7" s="1"/>
  <c r="B233" i="7"/>
  <c r="AC232" i="7"/>
  <c r="D232" i="7" s="1"/>
  <c r="B232" i="7"/>
  <c r="CD231" i="7"/>
  <c r="N231" i="7"/>
  <c r="AC231" i="7" s="1"/>
  <c r="B231" i="7"/>
  <c r="AE230" i="7"/>
  <c r="AD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M230" i="7"/>
  <c r="K230" i="7"/>
  <c r="J230" i="7"/>
  <c r="I230" i="7"/>
  <c r="H230" i="7"/>
  <c r="F230" i="7"/>
  <c r="E230" i="7"/>
  <c r="D229" i="7"/>
  <c r="D227" i="7"/>
  <c r="D226" i="7"/>
  <c r="D225" i="7"/>
  <c r="D224" i="7"/>
  <c r="D223" i="7"/>
  <c r="D222" i="7"/>
  <c r="D221" i="7"/>
  <c r="D220" i="7"/>
  <c r="N219" i="7"/>
  <c r="AC219" i="7" s="1"/>
  <c r="D219" i="7" s="1"/>
  <c r="D218" i="7"/>
  <c r="R217" i="7"/>
  <c r="AC217" i="7" s="1"/>
  <c r="D217" i="7" s="1"/>
  <c r="AC216" i="7"/>
  <c r="D216" i="7" s="1"/>
  <c r="D215" i="7"/>
  <c r="AC214" i="7"/>
  <c r="D214" i="7" s="1"/>
  <c r="CD213" i="7"/>
  <c r="AC213" i="7"/>
  <c r="D213" i="7" s="1"/>
  <c r="AC212" i="7"/>
  <c r="D212" i="7" s="1"/>
  <c r="CD211" i="7"/>
  <c r="AC211" i="7"/>
  <c r="D211" i="7" s="1"/>
  <c r="AC210" i="7"/>
  <c r="D210" i="7" s="1"/>
  <c r="AC209" i="7"/>
  <c r="D209" i="7" s="1"/>
  <c r="CD208" i="7"/>
  <c r="N208" i="7"/>
  <c r="AC208" i="7" s="1"/>
  <c r="D208" i="7" s="1"/>
  <c r="AC207" i="7"/>
  <c r="D207" i="7" s="1"/>
  <c r="CD206" i="7"/>
  <c r="AC206" i="7"/>
  <c r="D206" i="7" s="1"/>
  <c r="AC205" i="7"/>
  <c r="D205" i="7" s="1"/>
  <c r="G204" i="7"/>
  <c r="AC204" i="7" s="1"/>
  <c r="D204" i="7" s="1"/>
  <c r="D203" i="7"/>
  <c r="D202" i="7"/>
  <c r="D201" i="7"/>
  <c r="D200" i="7"/>
  <c r="AC199" i="7"/>
  <c r="D199" i="7" s="1"/>
  <c r="AC198" i="7"/>
  <c r="B198" i="7"/>
  <c r="AC197" i="7"/>
  <c r="D197" i="7" s="1"/>
  <c r="B197" i="7"/>
  <c r="AE196" i="7"/>
  <c r="AD196" i="7"/>
  <c r="AB196" i="7"/>
  <c r="AA196" i="7"/>
  <c r="Z196" i="7"/>
  <c r="Y196" i="7"/>
  <c r="X196" i="7"/>
  <c r="W196" i="7"/>
  <c r="V196" i="7"/>
  <c r="U196" i="7"/>
  <c r="T196" i="7"/>
  <c r="S196" i="7"/>
  <c r="Q196" i="7"/>
  <c r="P196" i="7"/>
  <c r="O196" i="7"/>
  <c r="M196" i="7"/>
  <c r="L196" i="7"/>
  <c r="K196" i="7"/>
  <c r="J196" i="7"/>
  <c r="I196" i="7"/>
  <c r="H196" i="7"/>
  <c r="F196" i="7"/>
  <c r="E196" i="7"/>
  <c r="T195" i="7"/>
  <c r="T156" i="7" s="1"/>
  <c r="N195" i="7"/>
  <c r="N156" i="7" s="1"/>
  <c r="B195" i="7"/>
  <c r="AC194" i="7"/>
  <c r="D194" i="7" s="1"/>
  <c r="B194" i="7"/>
  <c r="AC193" i="7"/>
  <c r="D193" i="7" s="1"/>
  <c r="B193" i="7"/>
  <c r="CD192" i="7"/>
  <c r="D192" i="7"/>
  <c r="B192" i="7"/>
  <c r="AC191" i="7"/>
  <c r="D191" i="7" s="1"/>
  <c r="B191" i="7"/>
  <c r="AC190" i="7"/>
  <c r="D190" i="7" s="1"/>
  <c r="B190" i="7"/>
  <c r="AC189" i="7"/>
  <c r="D189" i="7" s="1"/>
  <c r="B189" i="7"/>
  <c r="AC188" i="7"/>
  <c r="D188" i="7" s="1"/>
  <c r="B188" i="7"/>
  <c r="AC187" i="7"/>
  <c r="D187" i="7" s="1"/>
  <c r="B187" i="7"/>
  <c r="AC186" i="7"/>
  <c r="D186" i="7" s="1"/>
  <c r="B186" i="7"/>
  <c r="D185" i="7"/>
  <c r="B185" i="7"/>
  <c r="D184" i="7"/>
  <c r="B184" i="7"/>
  <c r="D183" i="7"/>
  <c r="B183" i="7"/>
  <c r="AC182" i="7"/>
  <c r="D182" i="7" s="1"/>
  <c r="B182" i="7"/>
  <c r="AC181" i="7"/>
  <c r="D181" i="7" s="1"/>
  <c r="B181" i="7"/>
  <c r="AC180" i="7"/>
  <c r="D180" i="7" s="1"/>
  <c r="B180" i="7"/>
  <c r="AC179" i="7"/>
  <c r="D179" i="7" s="1"/>
  <c r="B179" i="7"/>
  <c r="D178" i="7"/>
  <c r="B178" i="7"/>
  <c r="AC177" i="7"/>
  <c r="D177" i="7" s="1"/>
  <c r="B177" i="7"/>
  <c r="AC176" i="7"/>
  <c r="D176" i="7" s="1"/>
  <c r="B176" i="7"/>
  <c r="D175" i="7"/>
  <c r="B175" i="7"/>
  <c r="AC738" i="7"/>
  <c r="D738" i="7" s="1"/>
  <c r="CD174" i="7"/>
  <c r="D174" i="7"/>
  <c r="B174" i="7"/>
  <c r="AC173" i="7"/>
  <c r="D173" i="7" s="1"/>
  <c r="B173" i="7"/>
  <c r="AC172" i="7"/>
  <c r="D172" i="7" s="1"/>
  <c r="B172" i="7"/>
  <c r="CD171" i="7"/>
  <c r="AC171" i="7"/>
  <c r="D171" i="7" s="1"/>
  <c r="B171" i="7"/>
  <c r="AC170" i="7"/>
  <c r="D170" i="7" s="1"/>
  <c r="B170" i="7"/>
  <c r="AC169" i="7"/>
  <c r="D169" i="7" s="1"/>
  <c r="B169" i="7"/>
  <c r="CD168" i="7"/>
  <c r="AC168" i="7"/>
  <c r="D168" i="7" s="1"/>
  <c r="B168" i="7"/>
  <c r="CD167" i="7"/>
  <c r="AC167" i="7"/>
  <c r="D167" i="7" s="1"/>
  <c r="B167" i="7"/>
  <c r="AC166" i="7"/>
  <c r="D166" i="7" s="1"/>
  <c r="B166" i="7"/>
  <c r="AC165" i="7"/>
  <c r="D165" i="7" s="1"/>
  <c r="B165" i="7"/>
  <c r="D164" i="7"/>
  <c r="B164" i="7"/>
  <c r="CD163" i="7"/>
  <c r="AC163" i="7"/>
  <c r="D163" i="7" s="1"/>
  <c r="B163" i="7"/>
  <c r="AT162" i="7"/>
  <c r="D162" i="7"/>
  <c r="B162" i="7"/>
  <c r="AC161" i="7"/>
  <c r="D161" i="7" s="1"/>
  <c r="B161" i="7"/>
  <c r="AC160" i="7"/>
  <c r="D160" i="7" s="1"/>
  <c r="B160" i="7"/>
  <c r="CD159" i="7"/>
  <c r="AC159" i="7"/>
  <c r="D159" i="7" s="1"/>
  <c r="B159" i="7"/>
  <c r="AC158" i="7"/>
  <c r="D158" i="7" s="1"/>
  <c r="B158" i="7"/>
  <c r="CD157" i="7"/>
  <c r="D157" i="7"/>
  <c r="B157" i="7"/>
  <c r="AE156" i="7"/>
  <c r="AD156" i="7"/>
  <c r="AB156" i="7"/>
  <c r="AA156" i="7"/>
  <c r="Z156" i="7"/>
  <c r="Y156" i="7"/>
  <c r="X156" i="7"/>
  <c r="W156" i="7"/>
  <c r="V156" i="7"/>
  <c r="U156" i="7"/>
  <c r="S156" i="7"/>
  <c r="R156" i="7"/>
  <c r="Q156" i="7"/>
  <c r="P156" i="7"/>
  <c r="O156" i="7"/>
  <c r="M156" i="7"/>
  <c r="L156" i="7"/>
  <c r="K156" i="7"/>
  <c r="J156" i="7"/>
  <c r="I156" i="7"/>
  <c r="H156" i="7"/>
  <c r="G156" i="7"/>
  <c r="F156" i="7"/>
  <c r="E156" i="7"/>
  <c r="AD123" i="7"/>
  <c r="AC155" i="7"/>
  <c r="B155" i="7"/>
  <c r="AC154" i="7"/>
  <c r="D154" i="7" s="1"/>
  <c r="B154" i="7"/>
  <c r="AC153" i="7"/>
  <c r="D153" i="7" s="1"/>
  <c r="B153" i="7"/>
  <c r="CD152" i="7"/>
  <c r="AC152" i="7"/>
  <c r="D152" i="7" s="1"/>
  <c r="B152" i="7"/>
  <c r="CD151" i="7"/>
  <c r="AC151" i="7"/>
  <c r="D151" i="7" s="1"/>
  <c r="B151" i="7"/>
  <c r="AC150" i="7"/>
  <c r="D150" i="7" s="1"/>
  <c r="B150" i="7"/>
  <c r="AC149" i="7"/>
  <c r="D149" i="7" s="1"/>
  <c r="B149" i="7"/>
  <c r="AC148" i="7"/>
  <c r="D148" i="7" s="1"/>
  <c r="B148" i="7"/>
  <c r="D147" i="7"/>
  <c r="B147" i="7"/>
  <c r="AC146" i="7"/>
  <c r="D146" i="7" s="1"/>
  <c r="B146" i="7"/>
  <c r="AC145" i="7"/>
  <c r="D145" i="7" s="1"/>
  <c r="B145" i="7"/>
  <c r="AC144" i="7"/>
  <c r="D144" i="7" s="1"/>
  <c r="B144" i="7"/>
  <c r="AC143" i="7"/>
  <c r="D143" i="7" s="1"/>
  <c r="B143" i="7"/>
  <c r="AC142" i="7"/>
  <c r="D142" i="7" s="1"/>
  <c r="B142" i="7"/>
  <c r="AC141" i="7"/>
  <c r="D141" i="7" s="1"/>
  <c r="B141" i="7"/>
  <c r="AC140" i="7"/>
  <c r="D140" i="7" s="1"/>
  <c r="B140" i="7"/>
  <c r="AC139" i="7"/>
  <c r="D139" i="7" s="1"/>
  <c r="B139" i="7"/>
  <c r="AC138" i="7"/>
  <c r="D138" i="7" s="1"/>
  <c r="B138" i="7"/>
  <c r="AC137" i="7"/>
  <c r="D137" i="7" s="1"/>
  <c r="B137" i="7"/>
  <c r="AC136" i="7"/>
  <c r="D136" i="7" s="1"/>
  <c r="B136" i="7"/>
  <c r="CD135" i="7"/>
  <c r="AC135" i="7"/>
  <c r="D135" i="7" s="1"/>
  <c r="B135" i="7"/>
  <c r="CD134" i="7"/>
  <c r="AC134" i="7"/>
  <c r="D134" i="7" s="1"/>
  <c r="B134" i="7"/>
  <c r="CD133" i="7"/>
  <c r="AC133" i="7"/>
  <c r="D133" i="7" s="1"/>
  <c r="B133" i="7"/>
  <c r="CD132" i="7"/>
  <c r="AC132" i="7"/>
  <c r="D132" i="7" s="1"/>
  <c r="B132" i="7"/>
  <c r="CD131" i="7"/>
  <c r="AC131" i="7"/>
  <c r="D131" i="7" s="1"/>
  <c r="B131" i="7"/>
  <c r="CD130" i="7"/>
  <c r="AC130" i="7"/>
  <c r="D130" i="7" s="1"/>
  <c r="B130" i="7"/>
  <c r="CD129" i="7"/>
  <c r="AC129" i="7"/>
  <c r="D129" i="7" s="1"/>
  <c r="B129" i="7"/>
  <c r="CD128" i="7"/>
  <c r="AC128" i="7"/>
  <c r="D128" i="7" s="1"/>
  <c r="B128" i="7"/>
  <c r="AC127" i="7"/>
  <c r="D127" i="7" s="1"/>
  <c r="B127" i="7"/>
  <c r="AC126" i="7"/>
  <c r="D126" i="7" s="1"/>
  <c r="B126" i="7"/>
  <c r="CD125" i="7"/>
  <c r="AC125" i="7"/>
  <c r="D125" i="7" s="1"/>
  <c r="B125" i="7"/>
  <c r="CD124" i="7"/>
  <c r="AC124" i="7"/>
  <c r="D124" i="7" s="1"/>
  <c r="B124" i="7"/>
  <c r="AE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0" i="7"/>
  <c r="B120" i="7"/>
  <c r="D119" i="7"/>
  <c r="B119" i="7"/>
  <c r="D118" i="7"/>
  <c r="B118" i="7"/>
  <c r="D117" i="7"/>
  <c r="B117" i="7"/>
  <c r="D116" i="7"/>
  <c r="B116" i="7"/>
  <c r="D115" i="7"/>
  <c r="B115" i="7"/>
  <c r="D114" i="7"/>
  <c r="B114" i="7"/>
  <c r="CD113" i="7"/>
  <c r="D113" i="7"/>
  <c r="B113" i="7"/>
  <c r="D112" i="7"/>
  <c r="B112" i="7"/>
  <c r="CD111" i="7"/>
  <c r="D111" i="7"/>
  <c r="B111" i="7"/>
  <c r="CD110" i="7"/>
  <c r="D110" i="7"/>
  <c r="B110" i="7"/>
  <c r="CD109" i="7"/>
  <c r="D109" i="7"/>
  <c r="B109" i="7"/>
  <c r="CD108" i="7"/>
  <c r="D108" i="7"/>
  <c r="B108" i="7"/>
  <c r="CD107" i="7"/>
  <c r="D107" i="7"/>
  <c r="B107" i="7"/>
  <c r="CD106" i="7"/>
  <c r="D106" i="7"/>
  <c r="B106" i="7"/>
  <c r="D105" i="7"/>
  <c r="B105" i="7"/>
  <c r="D104" i="7"/>
  <c r="B104" i="7"/>
  <c r="D103" i="7"/>
  <c r="B103" i="7"/>
  <c r="D102" i="7"/>
  <c r="B102" i="7"/>
  <c r="D101" i="7"/>
  <c r="B101" i="7"/>
  <c r="CD100" i="7"/>
  <c r="D100" i="7"/>
  <c r="B100" i="7"/>
  <c r="D99" i="7"/>
  <c r="B99" i="7"/>
  <c r="D98" i="7"/>
  <c r="B98" i="7"/>
  <c r="D97" i="7"/>
  <c r="B97" i="7"/>
  <c r="D96" i="7"/>
  <c r="B96" i="7"/>
  <c r="CD95" i="7"/>
  <c r="D95" i="7"/>
  <c r="B95" i="7"/>
  <c r="D94" i="7"/>
  <c r="B94" i="7"/>
  <c r="D93" i="7"/>
  <c r="B93" i="7"/>
  <c r="D92" i="7"/>
  <c r="B92" i="7"/>
  <c r="CD91" i="7"/>
  <c r="D91" i="7"/>
  <c r="B91" i="7"/>
  <c r="CD90" i="7"/>
  <c r="D90" i="7"/>
  <c r="B90" i="7"/>
  <c r="CD89" i="7"/>
  <c r="D89" i="7"/>
  <c r="B89" i="7"/>
  <c r="CD88" i="7"/>
  <c r="D88" i="7"/>
  <c r="B88" i="7"/>
  <c r="D87" i="7"/>
  <c r="B87" i="7"/>
  <c r="CD86" i="7"/>
  <c r="D86" i="7"/>
  <c r="B86" i="7"/>
  <c r="D85" i="7"/>
  <c r="B85" i="7"/>
  <c r="CD84" i="7"/>
  <c r="D84" i="7"/>
  <c r="B84" i="7"/>
  <c r="CD83" i="7"/>
  <c r="D83" i="7"/>
  <c r="B83" i="7"/>
  <c r="D82" i="7"/>
  <c r="B82" i="7"/>
  <c r="D81" i="7"/>
  <c r="B81" i="7"/>
  <c r="D80" i="7"/>
  <c r="B80" i="7"/>
  <c r="CD79" i="7"/>
  <c r="D79" i="7"/>
  <c r="B79" i="7"/>
  <c r="CD78" i="7"/>
  <c r="D78" i="7"/>
  <c r="B78" i="7"/>
  <c r="CD77" i="7"/>
  <c r="D77" i="7"/>
  <c r="B77" i="7"/>
  <c r="D76" i="7"/>
  <c r="B76" i="7"/>
  <c r="D75" i="7"/>
  <c r="B75" i="7"/>
  <c r="D74" i="7"/>
  <c r="B74" i="7"/>
  <c r="D73" i="7"/>
  <c r="B73" i="7"/>
  <c r="CD72" i="7"/>
  <c r="D72" i="7"/>
  <c r="B72" i="7"/>
  <c r="CD71" i="7"/>
  <c r="D71" i="7"/>
  <c r="B71" i="7"/>
  <c r="D70" i="7"/>
  <c r="B70" i="7"/>
  <c r="CD69" i="7"/>
  <c r="D69" i="7"/>
  <c r="B69" i="7"/>
  <c r="CD68" i="7"/>
  <c r="D68" i="7"/>
  <c r="B68" i="7"/>
  <c r="D67" i="7"/>
  <c r="B67" i="7"/>
  <c r="CD66" i="7"/>
  <c r="D66" i="7"/>
  <c r="B66" i="7"/>
  <c r="D65" i="7"/>
  <c r="B65" i="7"/>
  <c r="CD64" i="7"/>
  <c r="D64" i="7"/>
  <c r="B64" i="7"/>
  <c r="CD63" i="7"/>
  <c r="D63" i="7"/>
  <c r="B63" i="7"/>
  <c r="CD62" i="7"/>
  <c r="D62" i="7"/>
  <c r="B62" i="7"/>
  <c r="CD61" i="7"/>
  <c r="D61" i="7"/>
  <c r="B61" i="7"/>
  <c r="CD60" i="7"/>
  <c r="D60" i="7"/>
  <c r="B60" i="7"/>
  <c r="D59" i="7"/>
  <c r="B59" i="7"/>
  <c r="CD58" i="7"/>
  <c r="D58" i="7"/>
  <c r="B58" i="7"/>
  <c r="CD57" i="7"/>
  <c r="D57" i="7"/>
  <c r="B57" i="7"/>
  <c r="D56" i="7"/>
  <c r="B56" i="7"/>
  <c r="D55" i="7"/>
  <c r="B55" i="7"/>
  <c r="D54" i="7"/>
  <c r="B54" i="7"/>
  <c r="CD53" i="7"/>
  <c r="D53" i="7"/>
  <c r="B53" i="7"/>
  <c r="D52" i="7"/>
  <c r="B52" i="7"/>
  <c r="D51" i="7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AT37" i="7"/>
  <c r="D37" i="7"/>
  <c r="B37" i="7"/>
  <c r="CD36" i="7"/>
  <c r="D36" i="7"/>
  <c r="B36" i="7"/>
  <c r="CD35" i="7"/>
  <c r="D35" i="7"/>
  <c r="B35" i="7"/>
  <c r="D34" i="7"/>
  <c r="B34" i="7"/>
  <c r="D33" i="7"/>
  <c r="B33" i="7"/>
  <c r="CD32" i="7"/>
  <c r="D32" i="7"/>
  <c r="B32" i="7"/>
  <c r="D31" i="7"/>
  <c r="B31" i="7"/>
  <c r="D30" i="7"/>
  <c r="B30" i="7"/>
  <c r="D29" i="7"/>
  <c r="B29" i="7"/>
  <c r="CD28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F65" i="8" l="1"/>
  <c r="F75" i="8"/>
  <c r="F91" i="8"/>
  <c r="F103" i="8"/>
  <c r="F130" i="8"/>
  <c r="F144" i="8"/>
  <c r="F157" i="8"/>
  <c r="F169" i="8"/>
  <c r="C10" i="5"/>
  <c r="D1127" i="7"/>
  <c r="D1125" i="7" s="1"/>
  <c r="AC1125" i="7"/>
  <c r="D10" i="5"/>
  <c r="F14" i="8"/>
  <c r="C14" i="4"/>
  <c r="C16" i="4" s="1"/>
  <c r="G550" i="7"/>
  <c r="K550" i="7"/>
  <c r="O550" i="7"/>
  <c r="S550" i="7"/>
  <c r="W550" i="7"/>
  <c r="AE550" i="7"/>
  <c r="AA550" i="7"/>
  <c r="H550" i="7"/>
  <c r="L550" i="7"/>
  <c r="P550" i="7"/>
  <c r="T550" i="7"/>
  <c r="X550" i="7"/>
  <c r="AB550" i="7"/>
  <c r="E550" i="7"/>
  <c r="I550" i="7"/>
  <c r="M550" i="7"/>
  <c r="Q550" i="7"/>
  <c r="U550" i="7"/>
  <c r="Y550" i="7"/>
  <c r="F550" i="7"/>
  <c r="J550" i="7"/>
  <c r="R550" i="7"/>
  <c r="V550" i="7"/>
  <c r="Z550" i="7"/>
  <c r="AD550" i="7"/>
  <c r="D907" i="7"/>
  <c r="D905" i="7" s="1"/>
  <c r="AC905" i="7"/>
  <c r="D939" i="7"/>
  <c r="D938" i="7" s="1"/>
  <c r="AC938" i="7"/>
  <c r="F29" i="8"/>
  <c r="F35" i="8"/>
  <c r="F43" i="8"/>
  <c r="F72" i="8"/>
  <c r="F98" i="8"/>
  <c r="F166" i="8"/>
  <c r="F176" i="8"/>
  <c r="F192" i="8"/>
  <c r="P53" i="8"/>
  <c r="P11" i="8" s="1"/>
  <c r="F55" i="8"/>
  <c r="F53" i="8" s="1"/>
  <c r="D935" i="7"/>
  <c r="D934" i="7" s="1"/>
  <c r="AC934" i="7"/>
  <c r="D793" i="7"/>
  <c r="AC805" i="7"/>
  <c r="D805" i="7" s="1"/>
  <c r="N792" i="7"/>
  <c r="G363" i="7"/>
  <c r="N765" i="7"/>
  <c r="P544" i="7"/>
  <c r="P20" i="7" s="1"/>
  <c r="R273" i="7"/>
  <c r="N948" i="7"/>
  <c r="R322" i="7"/>
  <c r="N357" i="7"/>
  <c r="K28" i="9"/>
  <c r="G230" i="7"/>
  <c r="N230" i="7"/>
  <c r="L10" i="9"/>
  <c r="N527" i="7"/>
  <c r="AC284" i="7"/>
  <c r="D284" i="7" s="1"/>
  <c r="D280" i="7" s="1"/>
  <c r="AC417" i="7"/>
  <c r="D417" i="7" s="1"/>
  <c r="D470" i="7"/>
  <c r="D467" i="7" s="1"/>
  <c r="CB467" i="7" s="1"/>
  <c r="N473" i="7"/>
  <c r="N515" i="7"/>
  <c r="G529" i="7"/>
  <c r="U1137" i="7"/>
  <c r="U961" i="7" s="1"/>
  <c r="AC1222" i="7"/>
  <c r="D1222" i="7" s="1"/>
  <c r="D1221" i="7" s="1"/>
  <c r="N384" i="7"/>
  <c r="N457" i="7"/>
  <c r="N498" i="7"/>
  <c r="R196" i="7"/>
  <c r="AC279" i="7"/>
  <c r="D279" i="7" s="1"/>
  <c r="N453" i="7"/>
  <c r="AC692" i="7"/>
  <c r="D692" i="7" s="1"/>
  <c r="J10" i="9"/>
  <c r="K13" i="9"/>
  <c r="G485" i="7"/>
  <c r="AE47" i="8"/>
  <c r="Q10" i="9"/>
  <c r="N196" i="7"/>
  <c r="N265" i="7"/>
  <c r="D486" i="7"/>
  <c r="N703" i="7"/>
  <c r="N1225" i="7"/>
  <c r="AC313" i="7"/>
  <c r="D313" i="7" s="1"/>
  <c r="AC358" i="7"/>
  <c r="D358" i="7" s="1"/>
  <c r="D357" i="7" s="1"/>
  <c r="CB357" i="7" s="1"/>
  <c r="N413" i="7"/>
  <c r="G426" i="7"/>
  <c r="N443" i="7"/>
  <c r="R467" i="7"/>
  <c r="AC495" i="7"/>
  <c r="D495" i="7" s="1"/>
  <c r="D494" i="7" s="1"/>
  <c r="G513" i="7"/>
  <c r="N1063" i="7"/>
  <c r="D155" i="7"/>
  <c r="D123" i="7" s="1"/>
  <c r="AE49" i="8"/>
  <c r="AE153" i="8"/>
  <c r="AE51" i="8"/>
  <c r="AE195" i="8"/>
  <c r="L11" i="8"/>
  <c r="AE61" i="8"/>
  <c r="AE184" i="8"/>
  <c r="J64" i="8"/>
  <c r="AD11" i="8"/>
  <c r="AE59" i="8"/>
  <c r="AE182" i="8"/>
  <c r="R11" i="8"/>
  <c r="V11" i="8"/>
  <c r="Z11" i="8"/>
  <c r="H11" i="8"/>
  <c r="AG11" i="8"/>
  <c r="AE53" i="8"/>
  <c r="AE57" i="8"/>
  <c r="AE155" i="8"/>
  <c r="AE192" i="8"/>
  <c r="AE186" i="8"/>
  <c r="AE190" i="8"/>
  <c r="C8" i="4"/>
  <c r="G196" i="7"/>
  <c r="AC303" i="7"/>
  <c r="D303" i="7" s="1"/>
  <c r="D302" i="7" s="1"/>
  <c r="AC387" i="7"/>
  <c r="D387" i="7" s="1"/>
  <c r="AC388" i="7"/>
  <c r="D388" i="7" s="1"/>
  <c r="AC462" i="7"/>
  <c r="D462" i="7" s="1"/>
  <c r="D461" i="7" s="1"/>
  <c r="N467" i="7"/>
  <c r="AC475" i="7"/>
  <c r="D475" i="7" s="1"/>
  <c r="D473" i="7" s="1"/>
  <c r="CB473" i="7" s="1"/>
  <c r="AC491" i="7"/>
  <c r="D491" i="7" s="1"/>
  <c r="AC512" i="7"/>
  <c r="AC511" i="7" s="1"/>
  <c r="AC904" i="7"/>
  <c r="D904" i="7" s="1"/>
  <c r="D901" i="7" s="1"/>
  <c r="AC927" i="7"/>
  <c r="D927" i="7" s="1"/>
  <c r="D926" i="7" s="1"/>
  <c r="N1137" i="7"/>
  <c r="AC195" i="7"/>
  <c r="D195" i="7" s="1"/>
  <c r="D156" i="7" s="1"/>
  <c r="CB156" i="7" s="1"/>
  <c r="L230" i="7"/>
  <c r="L20" i="7" s="1"/>
  <c r="N237" i="7"/>
  <c r="G280" i="7"/>
  <c r="AC286" i="7"/>
  <c r="D286" i="7" s="1"/>
  <c r="D285" i="7" s="1"/>
  <c r="AC298" i="7"/>
  <c r="D298" i="7" s="1"/>
  <c r="D296" i="7" s="1"/>
  <c r="AC311" i="7"/>
  <c r="D311" i="7" s="1"/>
  <c r="AC414" i="7"/>
  <c r="D414" i="7" s="1"/>
  <c r="AC420" i="7"/>
  <c r="D420" i="7" s="1"/>
  <c r="D419" i="7" s="1"/>
  <c r="D464" i="7"/>
  <c r="D463" i="7" s="1"/>
  <c r="AC497" i="7"/>
  <c r="D497" i="7" s="1"/>
  <c r="D496" i="7" s="1"/>
  <c r="AC525" i="7"/>
  <c r="D525" i="7" s="1"/>
  <c r="AC526" i="7"/>
  <c r="D526" i="7" s="1"/>
  <c r="D857" i="7"/>
  <c r="D856" i="7" s="1"/>
  <c r="CB856" i="7" s="1"/>
  <c r="N1021" i="7"/>
  <c r="AC1041" i="7"/>
  <c r="D1041" i="7" s="1"/>
  <c r="D1036" i="7" s="1"/>
  <c r="AC1231" i="7"/>
  <c r="AC895" i="7"/>
  <c r="C7" i="4"/>
  <c r="C21" i="4"/>
  <c r="C22" i="4"/>
  <c r="AC889" i="7"/>
  <c r="AC1135" i="7"/>
  <c r="AC942" i="7"/>
  <c r="AC465" i="7"/>
  <c r="AC1178" i="7"/>
  <c r="D823" i="7"/>
  <c r="D822" i="7" s="1"/>
  <c r="AC1190" i="7"/>
  <c r="AC829" i="7"/>
  <c r="AC897" i="7"/>
  <c r="AC874" i="7"/>
  <c r="AC1123" i="7"/>
  <c r="E20" i="7"/>
  <c r="M20" i="7"/>
  <c r="AC379" i="7"/>
  <c r="AC919" i="7"/>
  <c r="AC1168" i="7"/>
  <c r="AC350" i="7"/>
  <c r="D421" i="7"/>
  <c r="AC887" i="7"/>
  <c r="AC1144" i="7"/>
  <c r="I63" i="9"/>
  <c r="P63" i="9" s="1"/>
  <c r="I10" i="9"/>
  <c r="P10" i="9" s="1"/>
  <c r="K34" i="9"/>
  <c r="K42" i="9"/>
  <c r="AB64" i="8"/>
  <c r="Q11" i="8"/>
  <c r="U11" i="8"/>
  <c r="Y11" i="8"/>
  <c r="AC11" i="8"/>
  <c r="I11" i="8"/>
  <c r="M11" i="8"/>
  <c r="O64" i="8"/>
  <c r="AE12" i="8"/>
  <c r="N64" i="8"/>
  <c r="R64" i="8"/>
  <c r="V64" i="8"/>
  <c r="Z64" i="8"/>
  <c r="AD64" i="8"/>
  <c r="W64" i="8"/>
  <c r="AF64" i="8"/>
  <c r="AE180" i="8"/>
  <c r="AE188" i="8"/>
  <c r="AE35" i="8"/>
  <c r="K64" i="8"/>
  <c r="AE130" i="8"/>
  <c r="J11" i="8"/>
  <c r="N11" i="8"/>
  <c r="S11" i="8"/>
  <c r="W11" i="8"/>
  <c r="AA11" i="8"/>
  <c r="AE27" i="8"/>
  <c r="AE41" i="8"/>
  <c r="G64" i="8"/>
  <c r="S64" i="8"/>
  <c r="AA64" i="8"/>
  <c r="H64" i="8"/>
  <c r="L64" i="8"/>
  <c r="AE157" i="8"/>
  <c r="AE166" i="8"/>
  <c r="AE14" i="8"/>
  <c r="AE25" i="8"/>
  <c r="AE39" i="8"/>
  <c r="AE72" i="8"/>
  <c r="AE98" i="8"/>
  <c r="AE103" i="8"/>
  <c r="AE144" i="8"/>
  <c r="AE164" i="8"/>
  <c r="G11" i="8"/>
  <c r="K11" i="8"/>
  <c r="T11" i="8"/>
  <c r="X11" i="8"/>
  <c r="AB11" i="8"/>
  <c r="AF11" i="8"/>
  <c r="AE29" i="8"/>
  <c r="AE43" i="8"/>
  <c r="AE65" i="8"/>
  <c r="AE91" i="8"/>
  <c r="X64" i="8"/>
  <c r="O11" i="8"/>
  <c r="AE32" i="8"/>
  <c r="AE150" i="8"/>
  <c r="I64" i="8"/>
  <c r="M64" i="8"/>
  <c r="Q64" i="8"/>
  <c r="U64" i="8"/>
  <c r="Y64" i="8"/>
  <c r="AC64" i="8"/>
  <c r="AG64" i="8"/>
  <c r="AE172" i="8"/>
  <c r="AE174" i="8"/>
  <c r="AE176" i="8"/>
  <c r="T64" i="8"/>
  <c r="AC463" i="7"/>
  <c r="AC515" i="7"/>
  <c r="AC852" i="7"/>
  <c r="AC944" i="7"/>
  <c r="AC1166" i="7"/>
  <c r="AC1176" i="7"/>
  <c r="AC1186" i="7"/>
  <c r="D1202" i="7"/>
  <c r="AC544" i="7"/>
  <c r="AC1116" i="7"/>
  <c r="D869" i="7"/>
  <c r="X961" i="7"/>
  <c r="D1137" i="7"/>
  <c r="CB1137" i="7" s="1"/>
  <c r="U20" i="7"/>
  <c r="AC453" i="7"/>
  <c r="D517" i="7"/>
  <c r="D515" i="7" s="1"/>
  <c r="CB515" i="7" s="1"/>
  <c r="AC854" i="7"/>
  <c r="AC916" i="7"/>
  <c r="AC932" i="7"/>
  <c r="D948" i="7"/>
  <c r="AC1188" i="7"/>
  <c r="AC1212" i="7"/>
  <c r="AC928" i="7"/>
  <c r="D21" i="7"/>
  <c r="AC522" i="7"/>
  <c r="AC908" i="7"/>
  <c r="AD961" i="7"/>
  <c r="P11" i="9"/>
  <c r="J63" i="9"/>
  <c r="AE23" i="8"/>
  <c r="D544" i="7"/>
  <c r="CB544" i="7" s="1"/>
  <c r="D1116" i="7"/>
  <c r="AC529" i="7"/>
  <c r="AC1223" i="7"/>
  <c r="AC1160" i="7"/>
  <c r="H20" i="7"/>
  <c r="X20" i="7"/>
  <c r="AC353" i="7"/>
  <c r="AC498" i="7"/>
  <c r="AC814" i="7"/>
  <c r="AC848" i="7"/>
  <c r="AC856" i="7"/>
  <c r="H961" i="7"/>
  <c r="AC1078" i="7"/>
  <c r="AC1087" i="7"/>
  <c r="D1087" i="7"/>
  <c r="D529" i="7"/>
  <c r="CB529" i="7" s="1"/>
  <c r="AC1101" i="7"/>
  <c r="AC287" i="7"/>
  <c r="AC506" i="7"/>
  <c r="D882" i="7"/>
  <c r="T20" i="7"/>
  <c r="AB20" i="7"/>
  <c r="I20" i="7"/>
  <c r="Q20" i="7"/>
  <c r="Y20" i="7"/>
  <c r="D441" i="7"/>
  <c r="D440" i="7" s="1"/>
  <c r="AC891" i="7"/>
  <c r="AC948" i="7"/>
  <c r="AC952" i="7"/>
  <c r="AC959" i="7"/>
  <c r="AC1156" i="7"/>
  <c r="D383" i="7"/>
  <c r="D382" i="7" s="1"/>
  <c r="AC382" i="7"/>
  <c r="D458" i="7"/>
  <c r="D457" i="7" s="1"/>
  <c r="AC457" i="7"/>
  <c r="D549" i="7"/>
  <c r="D548" i="7" s="1"/>
  <c r="CB548" i="7" s="1"/>
  <c r="AC548" i="7"/>
  <c r="D514" i="7"/>
  <c r="D513" i="7" s="1"/>
  <c r="CB513" i="7" s="1"/>
  <c r="AC513" i="7"/>
  <c r="D788" i="7"/>
  <c r="CB788" i="7" s="1"/>
  <c r="D868" i="7"/>
  <c r="D867" i="7" s="1"/>
  <c r="AC867" i="7"/>
  <c r="L961" i="7"/>
  <c r="T961" i="7"/>
  <c r="AE20" i="7"/>
  <c r="D350" i="7"/>
  <c r="CB350" i="7" s="1"/>
  <c r="D385" i="7"/>
  <c r="D384" i="7" s="1"/>
  <c r="AC384" i="7"/>
  <c r="D505" i="7"/>
  <c r="D504" i="7" s="1"/>
  <c r="CB504" i="7" s="1"/>
  <c r="AC504" i="7"/>
  <c r="AC703" i="7"/>
  <c r="AC788" i="7"/>
  <c r="D811" i="7"/>
  <c r="AC811" i="7"/>
  <c r="AC876" i="7"/>
  <c r="F961" i="7"/>
  <c r="V961" i="7"/>
  <c r="D445" i="7"/>
  <c r="D443" i="7" s="1"/>
  <c r="AC443" i="7"/>
  <c r="D931" i="7"/>
  <c r="D930" i="7" s="1"/>
  <c r="AC930" i="7"/>
  <c r="D1093" i="7"/>
  <c r="D1091" i="7" s="1"/>
  <c r="AC1091" i="7"/>
  <c r="D1148" i="7"/>
  <c r="D1147" i="7" s="1"/>
  <c r="AC1147" i="7"/>
  <c r="AC1210" i="7"/>
  <c r="D1211" i="7"/>
  <c r="D1210" i="7" s="1"/>
  <c r="D1216" i="7"/>
  <c r="D1214" i="7" s="1"/>
  <c r="AC1214" i="7"/>
  <c r="D403" i="7"/>
  <c r="J20" i="7"/>
  <c r="V20" i="7"/>
  <c r="Z20" i="7"/>
  <c r="P961" i="7"/>
  <c r="AB961" i="7"/>
  <c r="D1075" i="7"/>
  <c r="AC1227" i="7"/>
  <c r="D1227" i="7"/>
  <c r="AC538" i="7"/>
  <c r="D539" i="7"/>
  <c r="D538" i="7" s="1"/>
  <c r="D766" i="7"/>
  <c r="D765" i="7" s="1"/>
  <c r="AC765" i="7"/>
  <c r="D814" i="7"/>
  <c r="D819" i="7"/>
  <c r="D1111" i="7"/>
  <c r="D1108" i="7" s="1"/>
  <c r="AC1108" i="7"/>
  <c r="K20" i="7"/>
  <c r="O20" i="7"/>
  <c r="S20" i="7"/>
  <c r="W20" i="7"/>
  <c r="AA20" i="7"/>
  <c r="D346" i="7"/>
  <c r="CB346" i="7" s="1"/>
  <c r="D379" i="7"/>
  <c r="CB379" i="7" s="1"/>
  <c r="AC459" i="7"/>
  <c r="AC819" i="7"/>
  <c r="D824" i="7"/>
  <c r="D832" i="7"/>
  <c r="D831" i="7" s="1"/>
  <c r="AC831" i="7"/>
  <c r="D851" i="7"/>
  <c r="D850" i="7" s="1"/>
  <c r="CB850" i="7" s="1"/>
  <c r="AC850" i="7"/>
  <c r="E961" i="7"/>
  <c r="I961" i="7"/>
  <c r="M961" i="7"/>
  <c r="Q961" i="7"/>
  <c r="Y961" i="7"/>
  <c r="J961" i="7"/>
  <c r="R961" i="7"/>
  <c r="Z961" i="7"/>
  <c r="AC1075" i="7"/>
  <c r="AC1106" i="7"/>
  <c r="D1107" i="7"/>
  <c r="D1106" i="7" s="1"/>
  <c r="D1134" i="7"/>
  <c r="D1133" i="7" s="1"/>
  <c r="AC1133" i="7"/>
  <c r="D1199" i="7"/>
  <c r="D1198" i="7" s="1"/>
  <c r="AC1198" i="7"/>
  <c r="AD20" i="7"/>
  <c r="D322" i="7"/>
  <c r="CB322" i="7" s="1"/>
  <c r="D551" i="7"/>
  <c r="D859" i="7"/>
  <c r="D858" i="7" s="1"/>
  <c r="AC858" i="7"/>
  <c r="AC946" i="7"/>
  <c r="D947" i="7"/>
  <c r="D946" i="7" s="1"/>
  <c r="D1100" i="7"/>
  <c r="D1099" i="7" s="1"/>
  <c r="AC1099" i="7"/>
  <c r="AC1202" i="7"/>
  <c r="D838" i="7"/>
  <c r="CB838" i="7" s="1"/>
  <c r="D910" i="7"/>
  <c r="D1144" i="7"/>
  <c r="AC838" i="7"/>
  <c r="D876" i="7"/>
  <c r="G961" i="7"/>
  <c r="K961" i="7"/>
  <c r="O961" i="7"/>
  <c r="S961" i="7"/>
  <c r="W961" i="7"/>
  <c r="AA961" i="7"/>
  <c r="AE961" i="7"/>
  <c r="D1101" i="7"/>
  <c r="AC1137" i="7"/>
  <c r="K63" i="9"/>
  <c r="L63" i="9"/>
  <c r="P64" i="9"/>
  <c r="AE75" i="8"/>
  <c r="P64" i="8"/>
  <c r="AE169" i="8"/>
  <c r="F20" i="7"/>
  <c r="D267" i="7"/>
  <c r="D265" i="7" s="1"/>
  <c r="AC265" i="7"/>
  <c r="AC339" i="7"/>
  <c r="D342" i="7"/>
  <c r="D339" i="7" s="1"/>
  <c r="CB339" i="7" s="1"/>
  <c r="D240" i="7"/>
  <c r="D237" i="7" s="1"/>
  <c r="CB237" i="7" s="1"/>
  <c r="AC237" i="7"/>
  <c r="D274" i="7"/>
  <c r="D397" i="7"/>
  <c r="D396" i="7" s="1"/>
  <c r="AC396" i="7"/>
  <c r="D231" i="7"/>
  <c r="D230" i="7" s="1"/>
  <c r="CB230" i="7" s="1"/>
  <c r="AC230" i="7"/>
  <c r="AC290" i="7"/>
  <c r="D291" i="7"/>
  <c r="D290" i="7" s="1"/>
  <c r="D353" i="7"/>
  <c r="CB353" i="7" s="1"/>
  <c r="AC363" i="7"/>
  <c r="D365" i="7"/>
  <c r="D363" i="7" s="1"/>
  <c r="AC391" i="7"/>
  <c r="D392" i="7"/>
  <c r="D391" i="7" s="1"/>
  <c r="D415" i="7"/>
  <c r="D198" i="7"/>
  <c r="D196" i="7" s="1"/>
  <c r="CB196" i="7" s="1"/>
  <c r="AC196" i="7"/>
  <c r="D287" i="7"/>
  <c r="CB287" i="7" s="1"/>
  <c r="AC322" i="7"/>
  <c r="AC346" i="7"/>
  <c r="D402" i="7"/>
  <c r="D401" i="7" s="1"/>
  <c r="AC401" i="7"/>
  <c r="AC361" i="7"/>
  <c r="AC394" i="7"/>
  <c r="AC434" i="7"/>
  <c r="D508" i="7"/>
  <c r="CB508" i="7" s="1"/>
  <c r="D703" i="7"/>
  <c r="CB703" i="7" s="1"/>
  <c r="AC123" i="7"/>
  <c r="D412" i="7"/>
  <c r="D411" i="7" s="1"/>
  <c r="AC411" i="7"/>
  <c r="D429" i="7"/>
  <c r="D426" i="7" s="1"/>
  <c r="AC426" i="7"/>
  <c r="D434" i="7"/>
  <c r="CB434" i="7" s="1"/>
  <c r="D498" i="7"/>
  <c r="AC403" i="7"/>
  <c r="AC409" i="7"/>
  <c r="AC421" i="7"/>
  <c r="D528" i="7"/>
  <c r="D527" i="7" s="1"/>
  <c r="CB527" i="7" s="1"/>
  <c r="AC467" i="7"/>
  <c r="AC508" i="7"/>
  <c r="AC824" i="7"/>
  <c r="AC827" i="7"/>
  <c r="AC844" i="7"/>
  <c r="D845" i="7"/>
  <c r="D844" i="7" s="1"/>
  <c r="D916" i="7"/>
  <c r="D847" i="7"/>
  <c r="D846" i="7" s="1"/>
  <c r="AC846" i="7"/>
  <c r="AC954" i="7"/>
  <c r="D955" i="7"/>
  <c r="D954" i="7" s="1"/>
  <c r="D962" i="7"/>
  <c r="D1064" i="7"/>
  <c r="D1063" i="7" s="1"/>
  <c r="AC1063" i="7"/>
  <c r="AC1182" i="7"/>
  <c r="D1183" i="7"/>
  <c r="D1182" i="7" s="1"/>
  <c r="AC869" i="7"/>
  <c r="AC872" i="7"/>
  <c r="AC882" i="7"/>
  <c r="AC885" i="7"/>
  <c r="AC893" i="7"/>
  <c r="AC910" i="7"/>
  <c r="D1078" i="7"/>
  <c r="D1163" i="7"/>
  <c r="D1162" i="7" s="1"/>
  <c r="AC1162" i="7"/>
  <c r="AC1172" i="7"/>
  <c r="D1173" i="7"/>
  <c r="D1172" i="7" s="1"/>
  <c r="D1195" i="7"/>
  <c r="AC957" i="7"/>
  <c r="D958" i="7"/>
  <c r="D957" i="7" s="1"/>
  <c r="AC1021" i="7"/>
  <c r="D1022" i="7"/>
  <c r="D1021" i="7" s="1"/>
  <c r="AC1097" i="7"/>
  <c r="D1098" i="7"/>
  <c r="D1097" i="7" s="1"/>
  <c r="AC1131" i="7"/>
  <c r="D1132" i="7"/>
  <c r="D1131" i="7" s="1"/>
  <c r="D1193" i="7"/>
  <c r="D1192" i="7" s="1"/>
  <c r="AC1192" i="7"/>
  <c r="D1120" i="7"/>
  <c r="D1119" i="7" s="1"/>
  <c r="AC1119" i="7"/>
  <c r="D1152" i="7"/>
  <c r="D1151" i="7" s="1"/>
  <c r="AC1151" i="7"/>
  <c r="D1155" i="7"/>
  <c r="D1154" i="7" s="1"/>
  <c r="D1165" i="7"/>
  <c r="D1164" i="7" s="1"/>
  <c r="AC1195" i="7"/>
  <c r="D1122" i="7"/>
  <c r="D1121" i="7" s="1"/>
  <c r="D1171" i="7"/>
  <c r="D1170" i="7" s="1"/>
  <c r="AC1170" i="7"/>
  <c r="D1181" i="7"/>
  <c r="D1180" i="7" s="1"/>
  <c r="AC1180" i="7"/>
  <c r="D1095" i="7"/>
  <c r="D1094" i="7" s="1"/>
  <c r="AC1094" i="7"/>
  <c r="D1105" i="7"/>
  <c r="D1104" i="7" s="1"/>
  <c r="AC1104" i="7"/>
  <c r="D1129" i="7"/>
  <c r="D1128" i="7" s="1"/>
  <c r="AC1128" i="7"/>
  <c r="D1156" i="7"/>
  <c r="D1208" i="7"/>
  <c r="D1207" i="7" s="1"/>
  <c r="AC1207" i="7"/>
  <c r="D1218" i="7"/>
  <c r="D1217" i="7" s="1"/>
  <c r="AC1217" i="7"/>
  <c r="AC1225" i="7"/>
  <c r="F139" i="5" l="1"/>
  <c r="F80" i="5"/>
  <c r="F12" i="5"/>
  <c r="CB1021" i="7"/>
  <c r="F140" i="5"/>
  <c r="CB123" i="7"/>
  <c r="F13" i="5"/>
  <c r="F64" i="8"/>
  <c r="C9" i="4"/>
  <c r="C23" i="4"/>
  <c r="N550" i="7"/>
  <c r="F11" i="8"/>
  <c r="AC792" i="7"/>
  <c r="D792" i="7"/>
  <c r="CB792" i="7" s="1"/>
  <c r="D273" i="7"/>
  <c r="AC273" i="7"/>
  <c r="D684" i="7"/>
  <c r="AC684" i="7"/>
  <c r="AC1221" i="7"/>
  <c r="AC1036" i="7"/>
  <c r="R20" i="7"/>
  <c r="R19" i="7" s="1"/>
  <c r="K10" i="9"/>
  <c r="AC280" i="7"/>
  <c r="AC357" i="7"/>
  <c r="D485" i="7"/>
  <c r="AC494" i="7"/>
  <c r="D304" i="7"/>
  <c r="CB304" i="7" s="1"/>
  <c r="AC156" i="7"/>
  <c r="N20" i="7"/>
  <c r="N961" i="7"/>
  <c r="D413" i="7"/>
  <c r="AE64" i="8"/>
  <c r="AC302" i="7"/>
  <c r="AC901" i="7"/>
  <c r="AC296" i="7"/>
  <c r="AC496" i="7"/>
  <c r="AC926" i="7"/>
  <c r="AC304" i="7"/>
  <c r="AC473" i="7"/>
  <c r="D386" i="7"/>
  <c r="D512" i="7"/>
  <c r="D511" i="7" s="1"/>
  <c r="CB511" i="7" s="1"/>
  <c r="D524" i="7"/>
  <c r="CB524" i="7" s="1"/>
  <c r="G20" i="7"/>
  <c r="G19" i="7" s="1"/>
  <c r="AC461" i="7"/>
  <c r="AC419" i="7"/>
  <c r="AC524" i="7"/>
  <c r="AC285" i="7"/>
  <c r="AC386" i="7"/>
  <c r="AC413" i="7"/>
  <c r="AC485" i="7"/>
  <c r="F19" i="7"/>
  <c r="AB19" i="7"/>
  <c r="AE11" i="8"/>
  <c r="I19" i="7"/>
  <c r="T19" i="7"/>
  <c r="E19" i="7"/>
  <c r="Q19" i="7"/>
  <c r="H19" i="7"/>
  <c r="L19" i="7"/>
  <c r="X19" i="7"/>
  <c r="M19" i="7"/>
  <c r="AD19" i="7"/>
  <c r="P19" i="7"/>
  <c r="AE19" i="7"/>
  <c r="V19" i="7"/>
  <c r="Y19" i="7"/>
  <c r="O19" i="7"/>
  <c r="AA19" i="7"/>
  <c r="K19" i="7"/>
  <c r="W19" i="7"/>
  <c r="J19" i="7"/>
  <c r="U19" i="7"/>
  <c r="S19" i="7"/>
  <c r="Z19" i="7"/>
  <c r="AW363" i="7"/>
  <c r="CB363" i="7"/>
  <c r="CB498" i="7"/>
  <c r="CE498" i="7"/>
  <c r="D961" i="7"/>
  <c r="F138" i="5" l="1"/>
  <c r="CB684" i="7"/>
  <c r="F81" i="5"/>
  <c r="F79" i="5" s="1"/>
  <c r="AT1126" i="7"/>
  <c r="AT702" i="7"/>
  <c r="CD625" i="7"/>
  <c r="CD701" i="7"/>
  <c r="F11" i="5"/>
  <c r="CD121" i="7"/>
  <c r="CD681" i="7"/>
  <c r="CD680" i="7"/>
  <c r="AT1018" i="7"/>
  <c r="AT1017" i="7"/>
  <c r="AC550" i="7"/>
  <c r="D550" i="7"/>
  <c r="AT900" i="7"/>
  <c r="AT899" i="7"/>
  <c r="CD900" i="7"/>
  <c r="CD899" i="7"/>
  <c r="CD906" i="7"/>
  <c r="CD399" i="7"/>
  <c r="AT940" i="7"/>
  <c r="AT906" i="7"/>
  <c r="CD941" i="7"/>
  <c r="CD940" i="7"/>
  <c r="CD842" i="7"/>
  <c r="CD843" i="7"/>
  <c r="AT810" i="7"/>
  <c r="AT340" i="7"/>
  <c r="CD810" i="7"/>
  <c r="CD340" i="7"/>
  <c r="AT924" i="7"/>
  <c r="AT923" i="7"/>
  <c r="AT922" i="7"/>
  <c r="CD924" i="7"/>
  <c r="CD923" i="7"/>
  <c r="CD922" i="7"/>
  <c r="AT880" i="7"/>
  <c r="AT921" i="7"/>
  <c r="AT925" i="7"/>
  <c r="CD925" i="7"/>
  <c r="CD921" i="7"/>
  <c r="CD880" i="7"/>
  <c r="CD881" i="7"/>
  <c r="CD736" i="7"/>
  <c r="CD776" i="7"/>
  <c r="CD1205" i="7"/>
  <c r="CD737" i="7"/>
  <c r="AT937" i="7"/>
  <c r="AT1205" i="7"/>
  <c r="AT813" i="7"/>
  <c r="CD813" i="7"/>
  <c r="AC961" i="7"/>
  <c r="CD228" i="7"/>
  <c r="CD775" i="7"/>
  <c r="N19" i="7"/>
  <c r="D20" i="7"/>
  <c r="AC20" i="7"/>
  <c r="CD960" i="7"/>
  <c r="CD957" i="7"/>
  <c r="CD954" i="7"/>
  <c r="CD949" i="7"/>
  <c r="CD946" i="7"/>
  <c r="CD956" i="7"/>
  <c r="CD953" i="7"/>
  <c r="CD950" i="7"/>
  <c r="CD944" i="7"/>
  <c r="CD943" i="7"/>
  <c r="CD942" i="7"/>
  <c r="CD936" i="7"/>
  <c r="CD933" i="7"/>
  <c r="CD931" i="7"/>
  <c r="CD928" i="7"/>
  <c r="CD926" i="7"/>
  <c r="CD912" i="7"/>
  <c r="CD909" i="7"/>
  <c r="CD905" i="7"/>
  <c r="CD902" i="7"/>
  <c r="CD897" i="7"/>
  <c r="CD892" i="7"/>
  <c r="CD889" i="7"/>
  <c r="CD884" i="7"/>
  <c r="CD876" i="7"/>
  <c r="CD871" i="7"/>
  <c r="CD868" i="7"/>
  <c r="CD865" i="7"/>
  <c r="CD861" i="7"/>
  <c r="CD845" i="7"/>
  <c r="CD844" i="7"/>
  <c r="CD838" i="7"/>
  <c r="CD952" i="7"/>
  <c r="CD951" i="7"/>
  <c r="CD948" i="7"/>
  <c r="CD935" i="7"/>
  <c r="CD932" i="7"/>
  <c r="CD930" i="7"/>
  <c r="CD918" i="7"/>
  <c r="CD915" i="7"/>
  <c r="CD911" i="7"/>
  <c r="CD908" i="7"/>
  <c r="CD901" i="7"/>
  <c r="CD894" i="7"/>
  <c r="CD891" i="7"/>
  <c r="CD886" i="7"/>
  <c r="CD883" i="7"/>
  <c r="CD879" i="7"/>
  <c r="CD873" i="7"/>
  <c r="CD870" i="7"/>
  <c r="CD867" i="7"/>
  <c r="CD864" i="7"/>
  <c r="CD860" i="7"/>
  <c r="CD857" i="7"/>
  <c r="CD847" i="7"/>
  <c r="CD955" i="7"/>
  <c r="CD939" i="7"/>
  <c r="CD938" i="7"/>
  <c r="CD934" i="7"/>
  <c r="CD927" i="7"/>
  <c r="CD920" i="7"/>
  <c r="CD917" i="7"/>
  <c r="CD914" i="7"/>
  <c r="CD910" i="7"/>
  <c r="CD904" i="7"/>
  <c r="CD896" i="7"/>
  <c r="CD893" i="7"/>
  <c r="CD888" i="7"/>
  <c r="CD885" i="7"/>
  <c r="CD882" i="7"/>
  <c r="CD878" i="7"/>
  <c r="CD875" i="7"/>
  <c r="CD872" i="7"/>
  <c r="CD869" i="7"/>
  <c r="CD863" i="7"/>
  <c r="CD859" i="7"/>
  <c r="CD855" i="7"/>
  <c r="CD853" i="7"/>
  <c r="CD851" i="7"/>
  <c r="CD849" i="7"/>
  <c r="CD846" i="7"/>
  <c r="CD841" i="7"/>
  <c r="CD959" i="7"/>
  <c r="CD958" i="7"/>
  <c r="CD947" i="7"/>
  <c r="CD945" i="7"/>
  <c r="CD929" i="7"/>
  <c r="CD919" i="7"/>
  <c r="CD916" i="7"/>
  <c r="CD913" i="7"/>
  <c r="CD907" i="7"/>
  <c r="CD903" i="7"/>
  <c r="CD898" i="7"/>
  <c r="CD895" i="7"/>
  <c r="CD890" i="7"/>
  <c r="CD887" i="7"/>
  <c r="CD877" i="7"/>
  <c r="CD874" i="7"/>
  <c r="CD866" i="7"/>
  <c r="CD862" i="7"/>
  <c r="CD858" i="7"/>
  <c r="CD856" i="7"/>
  <c r="CD854" i="7"/>
  <c r="CD852" i="7"/>
  <c r="CD850" i="7"/>
  <c r="CD848" i="7"/>
  <c r="CD840" i="7"/>
  <c r="CD837" i="7"/>
  <c r="CD836" i="7"/>
  <c r="CD832" i="7"/>
  <c r="CD829" i="7"/>
  <c r="CD821" i="7"/>
  <c r="CD818" i="7"/>
  <c r="CD814" i="7"/>
  <c r="CD811" i="7"/>
  <c r="CD803" i="7"/>
  <c r="CD798" i="7"/>
  <c r="CD794" i="7"/>
  <c r="CD785" i="7"/>
  <c r="CD781" i="7"/>
  <c r="CD777" i="7"/>
  <c r="CD728" i="7"/>
  <c r="CD725" i="7"/>
  <c r="CD721" i="7"/>
  <c r="CD717" i="7"/>
  <c r="CD713" i="7"/>
  <c r="CD839" i="7"/>
  <c r="CD835" i="7"/>
  <c r="CD831" i="7"/>
  <c r="CD826" i="7"/>
  <c r="CD823" i="7"/>
  <c r="CD820" i="7"/>
  <c r="CD817" i="7"/>
  <c r="CD802" i="7"/>
  <c r="CD801" i="7"/>
  <c r="CD797" i="7"/>
  <c r="CD793" i="7"/>
  <c r="CD791" i="7"/>
  <c r="CD786" i="7"/>
  <c r="CD782" i="7"/>
  <c r="CD778" i="7"/>
  <c r="CD770" i="7"/>
  <c r="CD769" i="7"/>
  <c r="CD764" i="7"/>
  <c r="CD763" i="7"/>
  <c r="CD762" i="7"/>
  <c r="CD761" i="7"/>
  <c r="CD735" i="7"/>
  <c r="CD760" i="7"/>
  <c r="CD759" i="7"/>
  <c r="CD758" i="7"/>
  <c r="CD757" i="7"/>
  <c r="CD834" i="7"/>
  <c r="CD828" i="7"/>
  <c r="CD825" i="7"/>
  <c r="CD822" i="7"/>
  <c r="CD819" i="7"/>
  <c r="CD816" i="7"/>
  <c r="CD809" i="7"/>
  <c r="CD808" i="7"/>
  <c r="CD807" i="7"/>
  <c r="CD806" i="7"/>
  <c r="CD805" i="7"/>
  <c r="CD800" i="7"/>
  <c r="CD796" i="7"/>
  <c r="CD792" i="7"/>
  <c r="CD790" i="7"/>
  <c r="CD787" i="7"/>
  <c r="CD783" i="7"/>
  <c r="CD779" i="7"/>
  <c r="CD768" i="7"/>
  <c r="CD767" i="7"/>
  <c r="CD766" i="7"/>
  <c r="CD730" i="7"/>
  <c r="CD727" i="7"/>
  <c r="CD723" i="7"/>
  <c r="CD719" i="7"/>
  <c r="CD833" i="7"/>
  <c r="CD830" i="7"/>
  <c r="CD827" i="7"/>
  <c r="CD824" i="7"/>
  <c r="CD815" i="7"/>
  <c r="CD812" i="7"/>
  <c r="CD804" i="7"/>
  <c r="CD799" i="7"/>
  <c r="CD795" i="7"/>
  <c r="CD789" i="7"/>
  <c r="CD788" i="7"/>
  <c r="CD784" i="7"/>
  <c r="CD780" i="7"/>
  <c r="CD774" i="7"/>
  <c r="CD773" i="7"/>
  <c r="CD772" i="7"/>
  <c r="CD771" i="7"/>
  <c r="CD765" i="7"/>
  <c r="CD729" i="7"/>
  <c r="CD726" i="7"/>
  <c r="CD722" i="7"/>
  <c r="CD718" i="7"/>
  <c r="CD714" i="7"/>
  <c r="CD754" i="7"/>
  <c r="CD750" i="7"/>
  <c r="CD746" i="7"/>
  <c r="CD742" i="7"/>
  <c r="CD734" i="7"/>
  <c r="CD712" i="7"/>
  <c r="CD708" i="7"/>
  <c r="CD703" i="7"/>
  <c r="CD700" i="7"/>
  <c r="CD699" i="7"/>
  <c r="CD698" i="7"/>
  <c r="CD697" i="7"/>
  <c r="CD693" i="7"/>
  <c r="CD690" i="7"/>
  <c r="CD686" i="7"/>
  <c r="CD682" i="7"/>
  <c r="CD676" i="7"/>
  <c r="CD672" i="7"/>
  <c r="CD669" i="7"/>
  <c r="CD666" i="7"/>
  <c r="CD662" i="7"/>
  <c r="CD658" i="7"/>
  <c r="CD654" i="7"/>
  <c r="CD650" i="7"/>
  <c r="CD646" i="7"/>
  <c r="CD642" i="7"/>
  <c r="CD638" i="7"/>
  <c r="CD634" i="7"/>
  <c r="CD630" i="7"/>
  <c r="CD627" i="7"/>
  <c r="CD622" i="7"/>
  <c r="CD122" i="7"/>
  <c r="CD611" i="7"/>
  <c r="CD607" i="7"/>
  <c r="CD603" i="7"/>
  <c r="CD591" i="7"/>
  <c r="CD590" i="7"/>
  <c r="CD589" i="7"/>
  <c r="CD588" i="7"/>
  <c r="CD587" i="7"/>
  <c r="CD586" i="7"/>
  <c r="CD585" i="7"/>
  <c r="CD557" i="7"/>
  <c r="CD556" i="7"/>
  <c r="CD555" i="7"/>
  <c r="CD548" i="7"/>
  <c r="CD546" i="7"/>
  <c r="CD545" i="7"/>
  <c r="CD543" i="7"/>
  <c r="CD542" i="7"/>
  <c r="CD539" i="7"/>
  <c r="CD536" i="7"/>
  <c r="CD521" i="7"/>
  <c r="CD520" i="7"/>
  <c r="CD517" i="7"/>
  <c r="CD504" i="7"/>
  <c r="CD499" i="7"/>
  <c r="CD459" i="7"/>
  <c r="CD457" i="7"/>
  <c r="CD453" i="7"/>
  <c r="CD446" i="7"/>
  <c r="CD426" i="7"/>
  <c r="CD413" i="7"/>
  <c r="CD755" i="7"/>
  <c r="CD751" i="7"/>
  <c r="CD747" i="7"/>
  <c r="CD743" i="7"/>
  <c r="CD739" i="7"/>
  <c r="CD731" i="7"/>
  <c r="CD720" i="7"/>
  <c r="CD716" i="7"/>
  <c r="CD715" i="7"/>
  <c r="CD711" i="7"/>
  <c r="CD707" i="7"/>
  <c r="CD696" i="7"/>
  <c r="CD692" i="7"/>
  <c r="CD689" i="7"/>
  <c r="CD685" i="7"/>
  <c r="CD683" i="7"/>
  <c r="CD677" i="7"/>
  <c r="CD673" i="7"/>
  <c r="CD670" i="7"/>
  <c r="CD663" i="7"/>
  <c r="CD659" i="7"/>
  <c r="CD655" i="7"/>
  <c r="CD651" i="7"/>
  <c r="CD647" i="7"/>
  <c r="CD643" i="7"/>
  <c r="CD639" i="7"/>
  <c r="CD635" i="7"/>
  <c r="CD631" i="7"/>
  <c r="CD628" i="7"/>
  <c r="CD623" i="7"/>
  <c r="CD619" i="7"/>
  <c r="CD612" i="7"/>
  <c r="CD608" i="7"/>
  <c r="CD604" i="7"/>
  <c r="CD595" i="7"/>
  <c r="CD594" i="7"/>
  <c r="CD593" i="7"/>
  <c r="CD592" i="7"/>
  <c r="CD559" i="7"/>
  <c r="CD558" i="7"/>
  <c r="CD550" i="7"/>
  <c r="CD544" i="7"/>
  <c r="CD538" i="7"/>
  <c r="CD535" i="7"/>
  <c r="CD534" i="7"/>
  <c r="CD533" i="7"/>
  <c r="CD532" i="7"/>
  <c r="CD531" i="7"/>
  <c r="CD524" i="7"/>
  <c r="CD522" i="7"/>
  <c r="CD512" i="7"/>
  <c r="CD494" i="7"/>
  <c r="CD488" i="7"/>
  <c r="CD485" i="7"/>
  <c r="CD482" i="7"/>
  <c r="CD472" i="7"/>
  <c r="CD464" i="7"/>
  <c r="CD455" i="7"/>
  <c r="CD445" i="7"/>
  <c r="CD440" i="7"/>
  <c r="CD433" i="7"/>
  <c r="CD432" i="7"/>
  <c r="CD421" i="7"/>
  <c r="CD419" i="7"/>
  <c r="CD406" i="7"/>
  <c r="CD404" i="7"/>
  <c r="CD402" i="7"/>
  <c r="CD401" i="7"/>
  <c r="CD393" i="7"/>
  <c r="CD389" i="7"/>
  <c r="CD756" i="7"/>
  <c r="CD752" i="7"/>
  <c r="CD748" i="7"/>
  <c r="CD744" i="7"/>
  <c r="CD740" i="7"/>
  <c r="CD732" i="7"/>
  <c r="CD724" i="7"/>
  <c r="CD710" i="7"/>
  <c r="CD706" i="7"/>
  <c r="CD695" i="7"/>
  <c r="CD688" i="7"/>
  <c r="CD684" i="7"/>
  <c r="CD678" i="7"/>
  <c r="CD674" i="7"/>
  <c r="CD667" i="7"/>
  <c r="CD664" i="7"/>
  <c r="CD660" i="7"/>
  <c r="CD656" i="7"/>
  <c r="CD652" i="7"/>
  <c r="CD648" i="7"/>
  <c r="CD644" i="7"/>
  <c r="CD640" i="7"/>
  <c r="CD636" i="7"/>
  <c r="CD632" i="7"/>
  <c r="CD629" i="7"/>
  <c r="CD624" i="7"/>
  <c r="CD620" i="7"/>
  <c r="CD617" i="7"/>
  <c r="CD613" i="7"/>
  <c r="CD609" i="7"/>
  <c r="CD605" i="7"/>
  <c r="CD601" i="7"/>
  <c r="CD600" i="7"/>
  <c r="CD599" i="7"/>
  <c r="CD598" i="7"/>
  <c r="CD597" i="7"/>
  <c r="CD596" i="7"/>
  <c r="CD572" i="7"/>
  <c r="CD571" i="7"/>
  <c r="CD570" i="7"/>
  <c r="CD569" i="7"/>
  <c r="CD568" i="7"/>
  <c r="CD567" i="7"/>
  <c r="CD566" i="7"/>
  <c r="CD565" i="7"/>
  <c r="CD564" i="7"/>
  <c r="CD563" i="7"/>
  <c r="CD562" i="7"/>
  <c r="CD561" i="7"/>
  <c r="CD560" i="7"/>
  <c r="CD541" i="7"/>
  <c r="CD529" i="7"/>
  <c r="CD526" i="7"/>
  <c r="CD514" i="7"/>
  <c r="CD510" i="7"/>
  <c r="CD509" i="7"/>
  <c r="CD507" i="7"/>
  <c r="CD497" i="7"/>
  <c r="CD493" i="7"/>
  <c r="CD487" i="7"/>
  <c r="CD479" i="7"/>
  <c r="CD478" i="7"/>
  <c r="CD477" i="7"/>
  <c r="CD473" i="7"/>
  <c r="CD470" i="7"/>
  <c r="CD468" i="7"/>
  <c r="CD466" i="7"/>
  <c r="CD461" i="7"/>
  <c r="CD444" i="7"/>
  <c r="CD753" i="7"/>
  <c r="CD749" i="7"/>
  <c r="CD745" i="7"/>
  <c r="CD741" i="7"/>
  <c r="CD733" i="7"/>
  <c r="CD709" i="7"/>
  <c r="CD705" i="7"/>
  <c r="CD704" i="7"/>
  <c r="CD694" i="7"/>
  <c r="CD691" i="7"/>
  <c r="CD687" i="7"/>
  <c r="CD679" i="7"/>
  <c r="CD675" i="7"/>
  <c r="CD671" i="7"/>
  <c r="CD668" i="7"/>
  <c r="CD665" i="7"/>
  <c r="CD661" i="7"/>
  <c r="CD657" i="7"/>
  <c r="CD653" i="7"/>
  <c r="CD649" i="7"/>
  <c r="CD645" i="7"/>
  <c r="CD641" i="7"/>
  <c r="CD637" i="7"/>
  <c r="CD633" i="7"/>
  <c r="CD626" i="7"/>
  <c r="CD621" i="7"/>
  <c r="CD614" i="7"/>
  <c r="CD610" i="7"/>
  <c r="CD606" i="7"/>
  <c r="CD602" i="7"/>
  <c r="CD584" i="7"/>
  <c r="CD583" i="7"/>
  <c r="CD582" i="7"/>
  <c r="CD581" i="7"/>
  <c r="CD580" i="7"/>
  <c r="CD579" i="7"/>
  <c r="CD578" i="7"/>
  <c r="CD577" i="7"/>
  <c r="CD576" i="7"/>
  <c r="CD575" i="7"/>
  <c r="CD574" i="7"/>
  <c r="CD573" i="7"/>
  <c r="CD554" i="7"/>
  <c r="CD553" i="7"/>
  <c r="CD552" i="7"/>
  <c r="CD551" i="7"/>
  <c r="CD547" i="7"/>
  <c r="CD537" i="7"/>
  <c r="CD527" i="7"/>
  <c r="CD515" i="7"/>
  <c r="CD513" i="7"/>
  <c r="CD511" i="7"/>
  <c r="CD508" i="7"/>
  <c r="CD506" i="7"/>
  <c r="CD502" i="7"/>
  <c r="CD501" i="7"/>
  <c r="CD500" i="7"/>
  <c r="CD498" i="7"/>
  <c r="CD496" i="7"/>
  <c r="CD492" i="7"/>
  <c r="CD475" i="7"/>
  <c r="CD467" i="7"/>
  <c r="CD465" i="7"/>
  <c r="CD463" i="7"/>
  <c r="CD450" i="7"/>
  <c r="CD447" i="7"/>
  <c r="CD443" i="7"/>
  <c r="CD438" i="7"/>
  <c r="CD429" i="7"/>
  <c r="CD423" i="7"/>
  <c r="CD420" i="7"/>
  <c r="CD412" i="7"/>
  <c r="CD409" i="7"/>
  <c r="CD403" i="7"/>
  <c r="CD400" i="7"/>
  <c r="CD398" i="7"/>
  <c r="CD397" i="7"/>
  <c r="CD396" i="7"/>
  <c r="CD382" i="7"/>
  <c r="CD369" i="7"/>
  <c r="CD365" i="7"/>
  <c r="CD356" i="7"/>
  <c r="CD355" i="7"/>
  <c r="CD354" i="7"/>
  <c r="CD349" i="7"/>
  <c r="CD348" i="7"/>
  <c r="CD347" i="7"/>
  <c r="CD343" i="7"/>
  <c r="CD326" i="7"/>
  <c r="CD323" i="7"/>
  <c r="CD313" i="7"/>
  <c r="CD310" i="7"/>
  <c r="CD297" i="7"/>
  <c r="CD295" i="7"/>
  <c r="CD294" i="7"/>
  <c r="CD293" i="7"/>
  <c r="CD292" i="7"/>
  <c r="CD291" i="7"/>
  <c r="CD286" i="7"/>
  <c r="CD279" i="7"/>
  <c r="CD274" i="7"/>
  <c r="CD269" i="7"/>
  <c r="CD267" i="7"/>
  <c r="CD265" i="7"/>
  <c r="CD256" i="7"/>
  <c r="CD254" i="7"/>
  <c r="CD252" i="7"/>
  <c r="CD248" i="7"/>
  <c r="CD245" i="7"/>
  <c r="CD241" i="7"/>
  <c r="CD240" i="7"/>
  <c r="CD227" i="7"/>
  <c r="CD223" i="7"/>
  <c r="CD219" i="7"/>
  <c r="CD217" i="7"/>
  <c r="CD214" i="7"/>
  <c r="CD212" i="7"/>
  <c r="CD210" i="7"/>
  <c r="CD209" i="7"/>
  <c r="CD205" i="7"/>
  <c r="CD198" i="7"/>
  <c r="CD182" i="7"/>
  <c r="CD181" i="7"/>
  <c r="CD180" i="7"/>
  <c r="CD179" i="7"/>
  <c r="CD178" i="7"/>
  <c r="CD170" i="7"/>
  <c r="CD166" i="7"/>
  <c r="CD160" i="7"/>
  <c r="CD156" i="7"/>
  <c r="CD127" i="7"/>
  <c r="CD123" i="7"/>
  <c r="CD118" i="7"/>
  <c r="CD114" i="7"/>
  <c r="CD102" i="7"/>
  <c r="CD98" i="7"/>
  <c r="CD94" i="7"/>
  <c r="CD430" i="7"/>
  <c r="CD425" i="7"/>
  <c r="CD424" i="7"/>
  <c r="CD391" i="7"/>
  <c r="CD388" i="7"/>
  <c r="CD386" i="7"/>
  <c r="CD384" i="7"/>
  <c r="CD364" i="7"/>
  <c r="CD357" i="7"/>
  <c r="CD353" i="7"/>
  <c r="CD350" i="7"/>
  <c r="CD346" i="7"/>
  <c r="CD342" i="7"/>
  <c r="CD341" i="7"/>
  <c r="CD325" i="7"/>
  <c r="CD322" i="7"/>
  <c r="CD318" i="7"/>
  <c r="CD317" i="7"/>
  <c r="CD316" i="7"/>
  <c r="CD312" i="7"/>
  <c r="CD305" i="7"/>
  <c r="CD303" i="7"/>
  <c r="CD301" i="7"/>
  <c r="CD300" i="7"/>
  <c r="CD299" i="7"/>
  <c r="CD290" i="7"/>
  <c r="CD287" i="7"/>
  <c r="CD285" i="7"/>
  <c r="CD281" i="7"/>
  <c r="CD277" i="7"/>
  <c r="CD273" i="7"/>
  <c r="CD234" i="7"/>
  <c r="CD229" i="7"/>
  <c r="CD224" i="7"/>
  <c r="CD220" i="7"/>
  <c r="CD218" i="7"/>
  <c r="CD216" i="7"/>
  <c r="CD215" i="7"/>
  <c r="CD204" i="7"/>
  <c r="CD197" i="7"/>
  <c r="CD195" i="7"/>
  <c r="CD183" i="7"/>
  <c r="CD169" i="7"/>
  <c r="CD165" i="7"/>
  <c r="CD154" i="7"/>
  <c r="CD126" i="7"/>
  <c r="CD119" i="7"/>
  <c r="CD115" i="7"/>
  <c r="CD103" i="7"/>
  <c r="CD99" i="7"/>
  <c r="CD87" i="7"/>
  <c r="CD75" i="7"/>
  <c r="CD434" i="7"/>
  <c r="CD428" i="7"/>
  <c r="CD427" i="7"/>
  <c r="CD422" i="7"/>
  <c r="CD411" i="7"/>
  <c r="CD410" i="7"/>
  <c r="CD394" i="7"/>
  <c r="CD390" i="7"/>
  <c r="CD385" i="7"/>
  <c r="CD379" i="7"/>
  <c r="CD371" i="7"/>
  <c r="CD370" i="7"/>
  <c r="CD366" i="7"/>
  <c r="CD361" i="7"/>
  <c r="CD358" i="7"/>
  <c r="CD339" i="7"/>
  <c r="CD327" i="7"/>
  <c r="CD306" i="7"/>
  <c r="CD302" i="7"/>
  <c r="CD282" i="7"/>
  <c r="CD275" i="7"/>
  <c r="CD259" i="7"/>
  <c r="CD238" i="7"/>
  <c r="CD237" i="7"/>
  <c r="CD232" i="7"/>
  <c r="CD226" i="7"/>
  <c r="CD222" i="7"/>
  <c r="CD203" i="7"/>
  <c r="CD202" i="7"/>
  <c r="CD201" i="7"/>
  <c r="CD200" i="7"/>
  <c r="CD199" i="7"/>
  <c r="CD194" i="7"/>
  <c r="CD193" i="7"/>
  <c r="CD191" i="7"/>
  <c r="CD190" i="7"/>
  <c r="CD189" i="7"/>
  <c r="CD188" i="7"/>
  <c r="CD187" i="7"/>
  <c r="CD186" i="7"/>
  <c r="CD185" i="7"/>
  <c r="CD177" i="7"/>
  <c r="CD176" i="7"/>
  <c r="CD175" i="7"/>
  <c r="CD162" i="7"/>
  <c r="CD161" i="7"/>
  <c r="CD155" i="7"/>
  <c r="CD150" i="7"/>
  <c r="CD149" i="7"/>
  <c r="CD148" i="7"/>
  <c r="CD147" i="7"/>
  <c r="CD117" i="7"/>
  <c r="CD105" i="7"/>
  <c r="CD101" i="7"/>
  <c r="CD97" i="7"/>
  <c r="CD93" i="7"/>
  <c r="CD85" i="7"/>
  <c r="CD81" i="7"/>
  <c r="CD73" i="7"/>
  <c r="CD52" i="7"/>
  <c r="CD51" i="7"/>
  <c r="CD50" i="7"/>
  <c r="CD49" i="7"/>
  <c r="CD48" i="7"/>
  <c r="CD47" i="7"/>
  <c r="CD46" i="7"/>
  <c r="CD45" i="7"/>
  <c r="CD44" i="7"/>
  <c r="CD43" i="7"/>
  <c r="CD311" i="7"/>
  <c r="CD276" i="7"/>
  <c r="CD236" i="7"/>
  <c r="CD235" i="7"/>
  <c r="CD230" i="7"/>
  <c r="CD164" i="7"/>
  <c r="CD146" i="7"/>
  <c r="CD145" i="7"/>
  <c r="CD144" i="7"/>
  <c r="CD143" i="7"/>
  <c r="CD142" i="7"/>
  <c r="CD141" i="7"/>
  <c r="CD140" i="7"/>
  <c r="CD139" i="7"/>
  <c r="CD138" i="7"/>
  <c r="CD137" i="7"/>
  <c r="CD136" i="7"/>
  <c r="CD104" i="7"/>
  <c r="CD92" i="7"/>
  <c r="CD82" i="7"/>
  <c r="CD65" i="7"/>
  <c r="CD37" i="7"/>
  <c r="CD34" i="7"/>
  <c r="CD33" i="7"/>
  <c r="CD31" i="7"/>
  <c r="CD30" i="7"/>
  <c r="CD29" i="7"/>
  <c r="CD27" i="7"/>
  <c r="CD26" i="7"/>
  <c r="CD25" i="7"/>
  <c r="CD24" i="7"/>
  <c r="CD23" i="7"/>
  <c r="CD22" i="7"/>
  <c r="CD41" i="7"/>
  <c r="CD39" i="7"/>
  <c r="CD120" i="7"/>
  <c r="CD74" i="7"/>
  <c r="CD55" i="7"/>
  <c r="CD431" i="7"/>
  <c r="CD158" i="7"/>
  <c r="CD56" i="7"/>
  <c r="CD375" i="7"/>
  <c r="CD304" i="7"/>
  <c r="CD298" i="7"/>
  <c r="CD296" i="7"/>
  <c r="CD264" i="7"/>
  <c r="CD263" i="7"/>
  <c r="CD262" i="7"/>
  <c r="CD239" i="7"/>
  <c r="CD225" i="7"/>
  <c r="CD196" i="7"/>
  <c r="CD184" i="7"/>
  <c r="CD112" i="7"/>
  <c r="CD80" i="7"/>
  <c r="CD76" i="7"/>
  <c r="CD70" i="7"/>
  <c r="CD54" i="7"/>
  <c r="CD42" i="7"/>
  <c r="CD40" i="7"/>
  <c r="CD38" i="7"/>
  <c r="CD67" i="7"/>
  <c r="CD405" i="7"/>
  <c r="CD362" i="7"/>
  <c r="CD338" i="7"/>
  <c r="CD332" i="7"/>
  <c r="CD331" i="7"/>
  <c r="CD330" i="7"/>
  <c r="CD329" i="7"/>
  <c r="CD328" i="7"/>
  <c r="CD324" i="7"/>
  <c r="CD266" i="7"/>
  <c r="CD233" i="7"/>
  <c r="CD221" i="7"/>
  <c r="CD207" i="7"/>
  <c r="CD738" i="7"/>
  <c r="CD173" i="7"/>
  <c r="CD172" i="7"/>
  <c r="CD153" i="7"/>
  <c r="CD96" i="7"/>
  <c r="CD59" i="7"/>
  <c r="CD381" i="7"/>
  <c r="CD363" i="7"/>
  <c r="CD359" i="7"/>
  <c r="CD280" i="7"/>
  <c r="CD246" i="7"/>
  <c r="CD116" i="7"/>
  <c r="AT1230" i="7"/>
  <c r="AT1229" i="7"/>
  <c r="AT1228" i="7"/>
  <c r="AT1227" i="7"/>
  <c r="AT1222" i="7"/>
  <c r="AT1213" i="7"/>
  <c r="AT1212" i="7"/>
  <c r="AT1204" i="7"/>
  <c r="AT1203" i="7"/>
  <c r="AT1201" i="7"/>
  <c r="AT1200" i="7"/>
  <c r="AT1199" i="7"/>
  <c r="AT1198" i="7"/>
  <c r="AT1189" i="7"/>
  <c r="AT1188" i="7"/>
  <c r="AT1186" i="7"/>
  <c r="AT1177" i="7"/>
  <c r="AT1176" i="7"/>
  <c r="AT1167" i="7"/>
  <c r="AT1166" i="7"/>
  <c r="AT1159" i="7"/>
  <c r="AT1158" i="7"/>
  <c r="AT1157" i="7"/>
  <c r="AT1156" i="7"/>
  <c r="AT1146" i="7"/>
  <c r="AT1145" i="7"/>
  <c r="AT1144" i="7"/>
  <c r="AT1139" i="7"/>
  <c r="AT1138" i="7"/>
  <c r="AT1134" i="7"/>
  <c r="AT1133" i="7"/>
  <c r="AT1124" i="7"/>
  <c r="AT1123" i="7"/>
  <c r="AT1115" i="7"/>
  <c r="AT1111" i="7"/>
  <c r="AT1110" i="7"/>
  <c r="AT1109" i="7"/>
  <c r="AT1108" i="7"/>
  <c r="AT1100" i="7"/>
  <c r="AT1099" i="7"/>
  <c r="AT1090" i="7"/>
  <c r="AT1086" i="7"/>
  <c r="AT1226" i="7"/>
  <c r="AT1221" i="7"/>
  <c r="AT1211" i="7"/>
  <c r="AT1210" i="7"/>
  <c r="AT1197" i="7"/>
  <c r="AT1196" i="7"/>
  <c r="AT1195" i="7"/>
  <c r="AT1185" i="7"/>
  <c r="AT1184" i="7"/>
  <c r="AT1183" i="7"/>
  <c r="AT1182" i="7"/>
  <c r="AT1175" i="7"/>
  <c r="AT1174" i="7"/>
  <c r="AT1173" i="7"/>
  <c r="AT1172" i="7"/>
  <c r="AT1165" i="7"/>
  <c r="AT1164" i="7"/>
  <c r="AT1155" i="7"/>
  <c r="AT1154" i="7"/>
  <c r="AT1142" i="7"/>
  <c r="AT1132" i="7"/>
  <c r="AT1131" i="7"/>
  <c r="AT1122" i="7"/>
  <c r="AT1121" i="7"/>
  <c r="AT1107" i="7"/>
  <c r="AT1106" i="7"/>
  <c r="AT1098" i="7"/>
  <c r="AT1097" i="7"/>
  <c r="AT1077" i="7"/>
  <c r="AT1225" i="7"/>
  <c r="AT1220" i="7"/>
  <c r="AT1219" i="7"/>
  <c r="AT1218" i="7"/>
  <c r="AT1217" i="7"/>
  <c r="AT1209" i="7"/>
  <c r="AT1208" i="7"/>
  <c r="AT1207" i="7"/>
  <c r="AT1223" i="7"/>
  <c r="AT1216" i="7"/>
  <c r="AT1190" i="7"/>
  <c r="AT1181" i="7"/>
  <c r="AT1171" i="7"/>
  <c r="AT1160" i="7"/>
  <c r="AT1151" i="7"/>
  <c r="AT1150" i="7"/>
  <c r="AT1149" i="7"/>
  <c r="AT1148" i="7"/>
  <c r="AT1147" i="7"/>
  <c r="AT1135" i="7"/>
  <c r="AT1130" i="7"/>
  <c r="AT1119" i="7"/>
  <c r="AT1118" i="7"/>
  <c r="AT1117" i="7"/>
  <c r="AT1116" i="7"/>
  <c r="AT1101" i="7"/>
  <c r="AT1096" i="7"/>
  <c r="AT1091" i="7"/>
  <c r="AT1049" i="7"/>
  <c r="AT1048" i="7"/>
  <c r="AT1047" i="7"/>
  <c r="AT1046" i="7"/>
  <c r="AT1045" i="7"/>
  <c r="AT1044" i="7"/>
  <c r="AT1043" i="7"/>
  <c r="AT1042" i="7"/>
  <c r="AT1041" i="7"/>
  <c r="AT1030" i="7"/>
  <c r="AT1029" i="7"/>
  <c r="AT1028" i="7"/>
  <c r="AT1027" i="7"/>
  <c r="AT1026" i="7"/>
  <c r="AT1025" i="7"/>
  <c r="AT1024" i="7"/>
  <c r="AT1023" i="7"/>
  <c r="AT1022" i="7"/>
  <c r="AT1016" i="7"/>
  <c r="AT1005" i="7"/>
  <c r="AT1002" i="7"/>
  <c r="AT998" i="7"/>
  <c r="AT994" i="7"/>
  <c r="AT988" i="7"/>
  <c r="AT984" i="7"/>
  <c r="AT980" i="7"/>
  <c r="AT977" i="7"/>
  <c r="AT973" i="7"/>
  <c r="AT967" i="7"/>
  <c r="AT964" i="7"/>
  <c r="AT958" i="7"/>
  <c r="AT955" i="7"/>
  <c r="AT952" i="7"/>
  <c r="AT947" i="7"/>
  <c r="AT944" i="7"/>
  <c r="AT1224" i="7"/>
  <c r="AT1192" i="7"/>
  <c r="AT1191" i="7"/>
  <c r="AT1162" i="7"/>
  <c r="AT1161" i="7"/>
  <c r="AT1152" i="7"/>
  <c r="AT1141" i="7"/>
  <c r="AT1140" i="7"/>
  <c r="AT1137" i="7"/>
  <c r="AT1136" i="7"/>
  <c r="AT1125" i="7"/>
  <c r="AT1120" i="7"/>
  <c r="AT1112" i="7"/>
  <c r="AT1102" i="7"/>
  <c r="AT1092" i="7"/>
  <c r="AT1087" i="7"/>
  <c r="AT1085" i="7"/>
  <c r="AT1084" i="7"/>
  <c r="AT1083" i="7"/>
  <c r="AT1082" i="7"/>
  <c r="AT1081" i="7"/>
  <c r="AT1080" i="7"/>
  <c r="AT1079" i="7"/>
  <c r="AT1078" i="7"/>
  <c r="AT1076" i="7"/>
  <c r="AT1075" i="7"/>
  <c r="AT1072" i="7"/>
  <c r="AT1058" i="7"/>
  <c r="AT1214" i="7"/>
  <c r="AT1202" i="7"/>
  <c r="AT1193" i="7"/>
  <c r="AT1178" i="7"/>
  <c r="AT1168" i="7"/>
  <c r="AT1163" i="7"/>
  <c r="AT1153" i="7"/>
  <c r="AT1128" i="7"/>
  <c r="AT1127" i="7"/>
  <c r="AT1104" i="7"/>
  <c r="AT1103" i="7"/>
  <c r="AT1094" i="7"/>
  <c r="AT1093" i="7"/>
  <c r="AT1088" i="7"/>
  <c r="AT1071" i="7"/>
  <c r="AT1066" i="7"/>
  <c r="AT1065" i="7"/>
  <c r="AT1064" i="7"/>
  <c r="AT1063" i="7"/>
  <c r="AT1061" i="7"/>
  <c r="AT1060" i="7"/>
  <c r="AT1059" i="7"/>
  <c r="AT1032" i="7"/>
  <c r="AT1020" i="7"/>
  <c r="AT1014" i="7"/>
  <c r="AT1011" i="7"/>
  <c r="AT1007" i="7"/>
  <c r="AT1000" i="7"/>
  <c r="AT996" i="7"/>
  <c r="AT992" i="7"/>
  <c r="AT986" i="7"/>
  <c r="AT982" i="7"/>
  <c r="AT975" i="7"/>
  <c r="AT969" i="7"/>
  <c r="AT966" i="7"/>
  <c r="AT962" i="7"/>
  <c r="AT959" i="7"/>
  <c r="AT951" i="7"/>
  <c r="AT1215" i="7"/>
  <c r="AT1179" i="7"/>
  <c r="AT1070" i="7"/>
  <c r="AT1069" i="7"/>
  <c r="AT1067" i="7"/>
  <c r="AT1040" i="7"/>
  <c r="AT1039" i="7"/>
  <c r="AT1038" i="7"/>
  <c r="AT1037" i="7"/>
  <c r="AT1036" i="7"/>
  <c r="AT1019" i="7"/>
  <c r="AT1006" i="7"/>
  <c r="AT999" i="7"/>
  <c r="AT991" i="7"/>
  <c r="AT981" i="7"/>
  <c r="AT976" i="7"/>
  <c r="AT971" i="7"/>
  <c r="AT961" i="7"/>
  <c r="AT950" i="7"/>
  <c r="AT945" i="7"/>
  <c r="AT929" i="7"/>
  <c r="AT919" i="7"/>
  <c r="AT916" i="7"/>
  <c r="AT913" i="7"/>
  <c r="AT907" i="7"/>
  <c r="AT903" i="7"/>
  <c r="AT898" i="7"/>
  <c r="AT895" i="7"/>
  <c r="AT890" i="7"/>
  <c r="AT887" i="7"/>
  <c r="AT877" i="7"/>
  <c r="AT874" i="7"/>
  <c r="AT866" i="7"/>
  <c r="AT858" i="7"/>
  <c r="AT848" i="7"/>
  <c r="AT837" i="7"/>
  <c r="AT1194" i="7"/>
  <c r="AT1180" i="7"/>
  <c r="AT1057" i="7"/>
  <c r="AT1056" i="7"/>
  <c r="AT1055" i="7"/>
  <c r="AT1054" i="7"/>
  <c r="AT1053" i="7"/>
  <c r="AT1052" i="7"/>
  <c r="AT1051" i="7"/>
  <c r="AT1015" i="7"/>
  <c r="AT1004" i="7"/>
  <c r="AT997" i="7"/>
  <c r="AT987" i="7"/>
  <c r="AT979" i="7"/>
  <c r="AT974" i="7"/>
  <c r="AT965" i="7"/>
  <c r="AT954" i="7"/>
  <c r="AT953" i="7"/>
  <c r="AT949" i="7"/>
  <c r="AT943" i="7"/>
  <c r="AT942" i="7"/>
  <c r="AT933" i="7"/>
  <c r="AT931" i="7"/>
  <c r="AT928" i="7"/>
  <c r="AT926" i="7"/>
  <c r="AT912" i="7"/>
  <c r="AT909" i="7"/>
  <c r="AT905" i="7"/>
  <c r="AT902" i="7"/>
  <c r="AT897" i="7"/>
  <c r="AT892" i="7"/>
  <c r="AT889" i="7"/>
  <c r="AT884" i="7"/>
  <c r="AT876" i="7"/>
  <c r="AT871" i="7"/>
  <c r="AT868" i="7"/>
  <c r="AT865" i="7"/>
  <c r="AT861" i="7"/>
  <c r="AT856" i="7"/>
  <c r="AT854" i="7"/>
  <c r="AT852" i="7"/>
  <c r="AT850" i="7"/>
  <c r="AT1169" i="7"/>
  <c r="AT1129" i="7"/>
  <c r="AT1105" i="7"/>
  <c r="AT1095" i="7"/>
  <c r="AT1021" i="7"/>
  <c r="AT1013" i="7"/>
  <c r="AT1003" i="7"/>
  <c r="AT995" i="7"/>
  <c r="AT985" i="7"/>
  <c r="AT963" i="7"/>
  <c r="AT957" i="7"/>
  <c r="AT956" i="7"/>
  <c r="AT948" i="7"/>
  <c r="AT935" i="7"/>
  <c r="AT930" i="7"/>
  <c r="AT918" i="7"/>
  <c r="AT915" i="7"/>
  <c r="AT911" i="7"/>
  <c r="AT908" i="7"/>
  <c r="AT901" i="7"/>
  <c r="AT894" i="7"/>
  <c r="AT891" i="7"/>
  <c r="AT886" i="7"/>
  <c r="AT883" i="7"/>
  <c r="AT879" i="7"/>
  <c r="AT873" i="7"/>
  <c r="AT870" i="7"/>
  <c r="AT867" i="7"/>
  <c r="AT864" i="7"/>
  <c r="AT860" i="7"/>
  <c r="AT857" i="7"/>
  <c r="AT847" i="7"/>
  <c r="AT1231" i="7"/>
  <c r="AT1170" i="7"/>
  <c r="AT1114" i="7"/>
  <c r="AT1062" i="7"/>
  <c r="AT1034" i="7"/>
  <c r="AT1033" i="7"/>
  <c r="AT1031" i="7"/>
  <c r="AT1001" i="7"/>
  <c r="AT993" i="7"/>
  <c r="AT983" i="7"/>
  <c r="AT968" i="7"/>
  <c r="AT960" i="7"/>
  <c r="AT946" i="7"/>
  <c r="AT939" i="7"/>
  <c r="AT938" i="7"/>
  <c r="AT934" i="7"/>
  <c r="AT932" i="7"/>
  <c r="AT927" i="7"/>
  <c r="AT920" i="7"/>
  <c r="AT917" i="7"/>
  <c r="AT914" i="7"/>
  <c r="AT910" i="7"/>
  <c r="AT896" i="7"/>
  <c r="AT893" i="7"/>
  <c r="AT888" i="7"/>
  <c r="AT885" i="7"/>
  <c r="AT882" i="7"/>
  <c r="AT878" i="7"/>
  <c r="AT875" i="7"/>
  <c r="AT872" i="7"/>
  <c r="AT869" i="7"/>
  <c r="AT863" i="7"/>
  <c r="AT859" i="7"/>
  <c r="AT855" i="7"/>
  <c r="AT853" i="7"/>
  <c r="AT851" i="7"/>
  <c r="AT849" i="7"/>
  <c r="AT844" i="7"/>
  <c r="AT833" i="7"/>
  <c r="AT830" i="7"/>
  <c r="AT827" i="7"/>
  <c r="AT824" i="7"/>
  <c r="AT815" i="7"/>
  <c r="AT812" i="7"/>
  <c r="AT804" i="7"/>
  <c r="AT799" i="7"/>
  <c r="AT795" i="7"/>
  <c r="AT792" i="7"/>
  <c r="AT789" i="7"/>
  <c r="AT773" i="7"/>
  <c r="AT772" i="7"/>
  <c r="AT771" i="7"/>
  <c r="AT765" i="7"/>
  <c r="AT729" i="7"/>
  <c r="AT726" i="7"/>
  <c r="AT722" i="7"/>
  <c r="AT718" i="7"/>
  <c r="AT714" i="7"/>
  <c r="AT840" i="7"/>
  <c r="AT836" i="7"/>
  <c r="AT829" i="7"/>
  <c r="AT821" i="7"/>
  <c r="AT818" i="7"/>
  <c r="AT814" i="7"/>
  <c r="AT811" i="7"/>
  <c r="AT803" i="7"/>
  <c r="AT794" i="7"/>
  <c r="AT788" i="7"/>
  <c r="AT846" i="7"/>
  <c r="AT835" i="7"/>
  <c r="AT831" i="7"/>
  <c r="AT826" i="7"/>
  <c r="AT823" i="7"/>
  <c r="AT820" i="7"/>
  <c r="AT817" i="7"/>
  <c r="AT802" i="7"/>
  <c r="AT801" i="7"/>
  <c r="AT797" i="7"/>
  <c r="AT793" i="7"/>
  <c r="AT791" i="7"/>
  <c r="AT770" i="7"/>
  <c r="AT769" i="7"/>
  <c r="AT731" i="7"/>
  <c r="AT724" i="7"/>
  <c r="AT720" i="7"/>
  <c r="AT838" i="7"/>
  <c r="AT834" i="7"/>
  <c r="AT828" i="7"/>
  <c r="AT825" i="7"/>
  <c r="AT822" i="7"/>
  <c r="AT819" i="7"/>
  <c r="AT816" i="7"/>
  <c r="AT800" i="7"/>
  <c r="AT790" i="7"/>
  <c r="AT768" i="7"/>
  <c r="AT767" i="7"/>
  <c r="AT766" i="7"/>
  <c r="AT730" i="7"/>
  <c r="AT727" i="7"/>
  <c r="AT723" i="7"/>
  <c r="AT719" i="7"/>
  <c r="AT715" i="7"/>
  <c r="AT713" i="7"/>
  <c r="AT709" i="7"/>
  <c r="AT704" i="7"/>
  <c r="AT694" i="7"/>
  <c r="AT691" i="7"/>
  <c r="AT687" i="7"/>
  <c r="AT684" i="7"/>
  <c r="AT584" i="7"/>
  <c r="AT583" i="7"/>
  <c r="AT582" i="7"/>
  <c r="AT581" i="7"/>
  <c r="AT580" i="7"/>
  <c r="AT579" i="7"/>
  <c r="AT578" i="7"/>
  <c r="AT577" i="7"/>
  <c r="AT576" i="7"/>
  <c r="AT575" i="7"/>
  <c r="AT574" i="7"/>
  <c r="AT554" i="7"/>
  <c r="AT553" i="7"/>
  <c r="AT552" i="7"/>
  <c r="AT551" i="7"/>
  <c r="AT549" i="7"/>
  <c r="AT540" i="7"/>
  <c r="AT529" i="7"/>
  <c r="AT525" i="7"/>
  <c r="AT500" i="7"/>
  <c r="AT492" i="7"/>
  <c r="AT486" i="7"/>
  <c r="AT484" i="7"/>
  <c r="AT475" i="7"/>
  <c r="AT473" i="7"/>
  <c r="AT465" i="7"/>
  <c r="AT463" i="7"/>
  <c r="AT460" i="7"/>
  <c r="AT447" i="7"/>
  <c r="AT443" i="7"/>
  <c r="AT437" i="7"/>
  <c r="AT434" i="7"/>
  <c r="AT427" i="7"/>
  <c r="AT422" i="7"/>
  <c r="AT420" i="7"/>
  <c r="AT410" i="7"/>
  <c r="AT712" i="7"/>
  <c r="AT708" i="7"/>
  <c r="AT697" i="7"/>
  <c r="AT693" i="7"/>
  <c r="AT690" i="7"/>
  <c r="AT686" i="7"/>
  <c r="AT591" i="7"/>
  <c r="AT590" i="7"/>
  <c r="AT589" i="7"/>
  <c r="AT588" i="7"/>
  <c r="AT587" i="7"/>
  <c r="AT586" i="7"/>
  <c r="AT557" i="7"/>
  <c r="AT556" i="7"/>
  <c r="AT545" i="7"/>
  <c r="AT542" i="7"/>
  <c r="AT539" i="7"/>
  <c r="AT530" i="7"/>
  <c r="AT527" i="7"/>
  <c r="AT523" i="7"/>
  <c r="AT517" i="7"/>
  <c r="AT515" i="7"/>
  <c r="AT511" i="7"/>
  <c r="AT508" i="7"/>
  <c r="AT506" i="7"/>
  <c r="AT499" i="7"/>
  <c r="AT498" i="7"/>
  <c r="AT483" i="7"/>
  <c r="AT469" i="7"/>
  <c r="AT467" i="7"/>
  <c r="AT459" i="7"/>
  <c r="AT457" i="7"/>
  <c r="AT441" i="7"/>
  <c r="AT436" i="7"/>
  <c r="AT426" i="7"/>
  <c r="AT413" i="7"/>
  <c r="AT728" i="7"/>
  <c r="AT721" i="7"/>
  <c r="AT717" i="7"/>
  <c r="AT716" i="7"/>
  <c r="AT711" i="7"/>
  <c r="AT707" i="7"/>
  <c r="AT703" i="7"/>
  <c r="AT696" i="7"/>
  <c r="AT692" i="7"/>
  <c r="AT689" i="7"/>
  <c r="AT685" i="7"/>
  <c r="AT595" i="7"/>
  <c r="AT594" i="7"/>
  <c r="AT593" i="7"/>
  <c r="AT559" i="7"/>
  <c r="AT550" i="7"/>
  <c r="AT548" i="7"/>
  <c r="AT538" i="7"/>
  <c r="AT531" i="7"/>
  <c r="AT528" i="7"/>
  <c r="AT512" i="7"/>
  <c r="AT504" i="7"/>
  <c r="AT485" i="7"/>
  <c r="AT474" i="7"/>
  <c r="AT464" i="7"/>
  <c r="AT455" i="7"/>
  <c r="AT445" i="7"/>
  <c r="AT440" i="7"/>
  <c r="AT725" i="7"/>
  <c r="AT710" i="7"/>
  <c r="AT706" i="7"/>
  <c r="AT695" i="7"/>
  <c r="AT688" i="7"/>
  <c r="AT601" i="7"/>
  <c r="AT600" i="7"/>
  <c r="AT599" i="7"/>
  <c r="AT598" i="7"/>
  <c r="AT597" i="7"/>
  <c r="AT572" i="7"/>
  <c r="AT571" i="7"/>
  <c r="AT570" i="7"/>
  <c r="AT569" i="7"/>
  <c r="AT568" i="7"/>
  <c r="AT567" i="7"/>
  <c r="AT566" i="7"/>
  <c r="AT565" i="7"/>
  <c r="AT564" i="7"/>
  <c r="AT563" i="7"/>
  <c r="AT562" i="7"/>
  <c r="AT561" i="7"/>
  <c r="AT544" i="7"/>
  <c r="AT541" i="7"/>
  <c r="AT524" i="7"/>
  <c r="AT522" i="7"/>
  <c r="AT516" i="7"/>
  <c r="AT509" i="7"/>
  <c r="AT507" i="7"/>
  <c r="AT505" i="7"/>
  <c r="AT487" i="7"/>
  <c r="AT476" i="7"/>
  <c r="AT468" i="7"/>
  <c r="AT466" i="7"/>
  <c r="AT458" i="7"/>
  <c r="AT435" i="7"/>
  <c r="AT428" i="7"/>
  <c r="AT421" i="7"/>
  <c r="AT404" i="7"/>
  <c r="AT394" i="7"/>
  <c r="AT389" i="7"/>
  <c r="AT387" i="7"/>
  <c r="AT385" i="7"/>
  <c r="AT383" i="7"/>
  <c r="AT370" i="7"/>
  <c r="AT366" i="7"/>
  <c r="AT361" i="7"/>
  <c r="AT358" i="7"/>
  <c r="AT351" i="7"/>
  <c r="AT327" i="7"/>
  <c r="AT306" i="7"/>
  <c r="AT304" i="7"/>
  <c r="AT302" i="7"/>
  <c r="AT289" i="7"/>
  <c r="AT282" i="7"/>
  <c r="AT275" i="7"/>
  <c r="AT238" i="7"/>
  <c r="AT232" i="7"/>
  <c r="AT230" i="7"/>
  <c r="AT206" i="7"/>
  <c r="AT203" i="7"/>
  <c r="AT202" i="7"/>
  <c r="AT201" i="7"/>
  <c r="AT200" i="7"/>
  <c r="AT199" i="7"/>
  <c r="AT196" i="7"/>
  <c r="AT171" i="7"/>
  <c r="AT167" i="7"/>
  <c r="AT161" i="7"/>
  <c r="AT157" i="7"/>
  <c r="AT132" i="7"/>
  <c r="AT128" i="7"/>
  <c r="AT124" i="7"/>
  <c r="AT444" i="7"/>
  <c r="AT419" i="7"/>
  <c r="AT415" i="7"/>
  <c r="AT414" i="7"/>
  <c r="AT409" i="7"/>
  <c r="AT403" i="7"/>
  <c r="AT397" i="7"/>
  <c r="AT396" i="7"/>
  <c r="AT392" i="7"/>
  <c r="AT382" i="7"/>
  <c r="AT379" i="7"/>
  <c r="AT369" i="7"/>
  <c r="AT365" i="7"/>
  <c r="AT363" i="7"/>
  <c r="AT354" i="7"/>
  <c r="AT352" i="7"/>
  <c r="AT347" i="7"/>
  <c r="AT343" i="7"/>
  <c r="AT339" i="7"/>
  <c r="AT326" i="7"/>
  <c r="AT323" i="7"/>
  <c r="AT310" i="7"/>
  <c r="AT309" i="7"/>
  <c r="AT297" i="7"/>
  <c r="AT291" i="7"/>
  <c r="AT288" i="7"/>
  <c r="AT274" i="7"/>
  <c r="AT267" i="7"/>
  <c r="AT265" i="7"/>
  <c r="AT245" i="7"/>
  <c r="AT244" i="7"/>
  <c r="AT240" i="7"/>
  <c r="AT237" i="7"/>
  <c r="AT231" i="7"/>
  <c r="AT208" i="7"/>
  <c r="AT205" i="7"/>
  <c r="AT198" i="7"/>
  <c r="AT170" i="7"/>
  <c r="AT166" i="7"/>
  <c r="AT160" i="7"/>
  <c r="AT135" i="7"/>
  <c r="AT131" i="7"/>
  <c r="AT127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405" i="7"/>
  <c r="AT395" i="7"/>
  <c r="AT380" i="7"/>
  <c r="AT367" i="7"/>
  <c r="AT362" i="7"/>
  <c r="AT357" i="7"/>
  <c r="AT353" i="7"/>
  <c r="AT350" i="7"/>
  <c r="AT346" i="7"/>
  <c r="AT328" i="7"/>
  <c r="AT324" i="7"/>
  <c r="AT322" i="7"/>
  <c r="AT311" i="7"/>
  <c r="AT307" i="7"/>
  <c r="AT298" i="7"/>
  <c r="AT296" i="7"/>
  <c r="AT287" i="7"/>
  <c r="AT280" i="7"/>
  <c r="AT276" i="7"/>
  <c r="AT266" i="7"/>
  <c r="AT246" i="7"/>
  <c r="AT242" i="7"/>
  <c r="AT239" i="7"/>
  <c r="AT233" i="7"/>
  <c r="AT207" i="7"/>
  <c r="AT172" i="7"/>
  <c r="AT168" i="7"/>
  <c r="AT164" i="7"/>
  <c r="AT163" i="7"/>
  <c r="AT158" i="7"/>
  <c r="AT136" i="7"/>
  <c r="AT133" i="7"/>
  <c r="AT129" i="7"/>
  <c r="AT125" i="7"/>
  <c r="AT312" i="7"/>
  <c r="AT303" i="7"/>
  <c r="AT273" i="7"/>
  <c r="AT165" i="7"/>
  <c r="AT130" i="7"/>
  <c r="AT123" i="7"/>
  <c r="AT52" i="7"/>
  <c r="AT48" i="7"/>
  <c r="AT44" i="7"/>
  <c r="AT45" i="7"/>
  <c r="AT36" i="7"/>
  <c r="AT35" i="7"/>
  <c r="AT34" i="7"/>
  <c r="AT33" i="7"/>
  <c r="AT32" i="7"/>
  <c r="AT31" i="7"/>
  <c r="AT30" i="7"/>
  <c r="AT28" i="7"/>
  <c r="AT26" i="7"/>
  <c r="AT24" i="7"/>
  <c r="AT22" i="7"/>
  <c r="AT41" i="7"/>
  <c r="AT386" i="7"/>
  <c r="AT384" i="7"/>
  <c r="AT247" i="7"/>
  <c r="AT204" i="7"/>
  <c r="AT159" i="7"/>
  <c r="AT425" i="7"/>
  <c r="AT341" i="7"/>
  <c r="AT305" i="7"/>
  <c r="AT299" i="7"/>
  <c r="AT197" i="7"/>
  <c r="AT134" i="7"/>
  <c r="AT126" i="7"/>
  <c r="AT53" i="7"/>
  <c r="AT49" i="7"/>
  <c r="AT29" i="7"/>
  <c r="AT27" i="7"/>
  <c r="AT25" i="7"/>
  <c r="AT23" i="7"/>
  <c r="AT156" i="7"/>
  <c r="AT50" i="7"/>
  <c r="AT42" i="7"/>
  <c r="AT39" i="7"/>
  <c r="AT47" i="7"/>
  <c r="AT406" i="7"/>
  <c r="AT388" i="7"/>
  <c r="AT325" i="7"/>
  <c r="AT243" i="7"/>
  <c r="AT46" i="7"/>
  <c r="AT40" i="7"/>
  <c r="AT391" i="7"/>
  <c r="AT368" i="7"/>
  <c r="AT364" i="7"/>
  <c r="AT308" i="7"/>
  <c r="AT290" i="7"/>
  <c r="AT281" i="7"/>
  <c r="AT169" i="7"/>
  <c r="AT51" i="7"/>
  <c r="F10" i="5" l="1"/>
  <c r="D19" i="7"/>
  <c r="AC19" i="7"/>
  <c r="Q102" i="9" l="1"/>
  <c r="Q6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Татьяна Николаевна Базжина</author>
    <author>RePack by Diakov</author>
  </authors>
  <commentList>
    <comment ref="AD274" authorId="0" shapeId="0" xr:uid="{00000000-0006-0000-0000-000001000000}">
      <text>
        <r>
          <rPr>
            <b/>
            <sz val="48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48"/>
            <color indexed="81"/>
            <rFont val="Tahoma"/>
            <family val="2"/>
            <charset val="204"/>
          </rPr>
          <t xml:space="preserve">
с учетом ПСД на фасад</t>
        </r>
      </text>
    </comment>
    <comment ref="C922" authorId="1" shapeId="0" xr:uid="{00000000-0006-0000-0000-000002000000}">
      <text>
        <r>
          <rPr>
            <b/>
            <sz val="16"/>
            <color indexed="81"/>
            <rFont val="Tahoma"/>
            <family val="2"/>
            <charset val="204"/>
          </rPr>
          <t>RePack by Diakov:</t>
        </r>
        <r>
          <rPr>
            <sz val="36"/>
            <color indexed="81"/>
            <rFont val="Tahoma"/>
            <family val="2"/>
            <charset val="204"/>
          </rPr>
          <t xml:space="preserve">
корп.1</t>
        </r>
      </text>
    </comment>
    <comment ref="C923" authorId="1" shapeId="0" xr:uid="{00000000-0006-0000-0000-000003000000}">
      <text>
        <r>
          <rPr>
            <b/>
            <sz val="14"/>
            <color indexed="81"/>
            <rFont val="Tahoma"/>
            <family val="2"/>
            <charset val="204"/>
          </rPr>
          <t>RePack by Diakov:</t>
        </r>
        <r>
          <rPr>
            <sz val="36"/>
            <color indexed="81"/>
            <rFont val="Tahoma"/>
            <family val="2"/>
            <charset val="204"/>
          </rPr>
          <t xml:space="preserve">
корп.3</t>
        </r>
      </text>
    </comment>
    <comment ref="C924" authorId="1" shapeId="0" xr:uid="{00000000-0006-0000-0000-000004000000}">
      <text>
        <r>
          <rPr>
            <b/>
            <sz val="18"/>
            <color indexed="81"/>
            <rFont val="Tahoma"/>
            <family val="2"/>
            <charset val="204"/>
          </rPr>
          <t>RePack by Diakov: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  <r>
          <rPr>
            <sz val="48"/>
            <color indexed="81"/>
            <rFont val="Tahoma"/>
            <family val="2"/>
            <charset val="204"/>
          </rPr>
          <t>корп.3</t>
        </r>
      </text>
    </comment>
    <comment ref="C925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>корп.1</t>
        </r>
      </text>
    </comment>
  </commentList>
</comments>
</file>

<file path=xl/sharedStrings.xml><?xml version="1.0" encoding="utf-8"?>
<sst xmlns="http://schemas.openxmlformats.org/spreadsheetml/2006/main" count="12676" uniqueCount="1746">
  <si>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</si>
  <si>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</si>
  <si>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</si>
  <si>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</si>
  <si>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</si>
  <si>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</si>
  <si>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</si>
  <si>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</si>
  <si>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</si>
  <si>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</si>
  <si>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</si>
  <si>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</si>
  <si>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</si>
  <si>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</si>
  <si>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</si>
  <si>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</si>
  <si>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</si>
  <si>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</si>
  <si>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</si>
  <si>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</si>
  <si>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</si>
  <si>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</si>
  <si>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</si>
  <si>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</si>
  <si>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</si>
  <si>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</si>
  <si>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</si>
  <si>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</si>
  <si>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</si>
  <si>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</si>
  <si>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</si>
  <si>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</si>
  <si>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</si>
  <si>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</si>
  <si>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</si>
  <si>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</si>
  <si>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</si>
  <si>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</si>
  <si>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</si>
  <si>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</si>
  <si>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</si>
  <si>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</si>
  <si>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</si>
  <si>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</si>
  <si>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</si>
  <si>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</si>
  <si>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</si>
  <si>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</si>
  <si>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</si>
  <si>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</si>
  <si>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</si>
  <si>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</si>
  <si>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</si>
  <si>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</si>
  <si>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</si>
  <si>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</si>
  <si>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</si>
  <si>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</si>
  <si>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</si>
  <si>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</si>
  <si>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</si>
  <si>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</si>
  <si>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</si>
  <si>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</si>
  <si>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</si>
  <si>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</si>
  <si>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</si>
  <si>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</si>
  <si>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</si>
  <si>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</si>
  <si>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</si>
  <si>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</si>
  <si>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</si>
  <si>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</si>
  <si>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</si>
  <si>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</si>
  <si>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</si>
  <si>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</si>
  <si>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</si>
  <si>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</si>
  <si>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</si>
  <si>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</si>
  <si>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</si>
  <si>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</si>
  <si>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</si>
  <si>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</si>
  <si>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</si>
  <si>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</si>
  <si>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</si>
  <si>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</si>
  <si>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</si>
  <si>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</si>
  <si>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</si>
  <si>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</si>
  <si>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</si>
  <si>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</si>
  <si>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</si>
  <si>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</si>
  <si>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</si>
  <si>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</si>
  <si>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</si>
  <si>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</si>
  <si>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</si>
  <si>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</si>
  <si>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</si>
  <si>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</si>
  <si>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</si>
  <si>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</si>
  <si>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</si>
  <si>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</si>
  <si>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</si>
  <si>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</si>
  <si>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</si>
  <si>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</si>
  <si>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</si>
  <si>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</si>
  <si>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</si>
  <si>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</si>
  <si>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</si>
  <si>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</si>
  <si>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</si>
  <si>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</si>
  <si>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</si>
  <si>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</si>
  <si>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</si>
  <si>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</si>
  <si>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</si>
  <si>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</si>
  <si>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</si>
  <si>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</si>
  <si>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</si>
  <si>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</si>
  <si>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</si>
  <si>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</si>
  <si>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</si>
  <si>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</si>
  <si>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</si>
  <si>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</si>
  <si>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</si>
  <si>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</si>
  <si>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</si>
  <si>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</si>
  <si>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</si>
  <si>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</si>
  <si>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</si>
  <si>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</si>
  <si>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</si>
  <si>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</si>
  <si>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</si>
  <si>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</si>
  <si>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</si>
  <si>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</si>
  <si>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</si>
  <si>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</si>
  <si>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</si>
  <si>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</si>
  <si>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</si>
  <si>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</si>
  <si>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</si>
  <si>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</si>
  <si>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</si>
  <si>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</si>
  <si>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</si>
  <si>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</si>
  <si>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</si>
  <si>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</si>
  <si>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</si>
  <si>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</si>
  <si>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</si>
  <si>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</si>
  <si>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</si>
  <si>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</si>
  <si>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</si>
  <si>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</si>
  <si>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</si>
  <si>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</si>
  <si>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</si>
  <si>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</si>
  <si>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</si>
  <si>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</si>
  <si>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</si>
  <si>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</si>
  <si>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</si>
  <si>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</si>
  <si>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</si>
  <si>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</si>
  <si>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</si>
  <si>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</si>
  <si>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</si>
  <si>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</si>
  <si>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</si>
  <si>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</si>
  <si>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</si>
  <si>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</si>
  <si>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</si>
  <si>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</si>
  <si>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</si>
  <si>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</si>
  <si>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</si>
  <si>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</si>
  <si>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</si>
  <si>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</si>
  <si>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</si>
  <si>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</si>
  <si>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</si>
  <si>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</si>
  <si>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</si>
  <si>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</si>
  <si>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</si>
  <si>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</si>
  <si>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</si>
  <si>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</si>
  <si>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</si>
  <si>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</si>
  <si>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</si>
  <si>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</si>
  <si>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</si>
  <si>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</si>
  <si>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</si>
  <si>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</si>
  <si>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</si>
  <si>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</si>
  <si>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</si>
  <si>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</si>
  <si>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</si>
  <si>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</si>
  <si>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</si>
  <si>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</si>
  <si>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</si>
  <si>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</si>
  <si>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</si>
  <si>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</si>
  <si>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</si>
  <si>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</si>
  <si>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</si>
  <si>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</si>
  <si>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</si>
  <si>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</si>
  <si>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</si>
  <si>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</si>
  <si>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</si>
  <si>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</si>
  <si>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</si>
  <si>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</si>
  <si>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</si>
  <si>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</si>
  <si>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</si>
  <si>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</si>
  <si>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</si>
  <si>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</si>
  <si>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</si>
  <si>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</si>
  <si>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</si>
  <si>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</si>
  <si>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</si>
  <si>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</si>
  <si>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</si>
  <si>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</si>
  <si>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</si>
  <si>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</si>
  <si>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</si>
  <si>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</si>
  <si>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</si>
  <si>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</si>
  <si>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</si>
  <si>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</si>
  <si>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</si>
  <si>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</si>
  <si>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</si>
  <si>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</si>
  <si>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</si>
  <si>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</si>
  <si>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</si>
  <si>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</si>
  <si>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</si>
  <si>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</si>
  <si>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</si>
  <si>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</si>
  <si>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</si>
  <si>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</si>
  <si>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</si>
  <si>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</si>
  <si>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</si>
  <si>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</si>
  <si>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</si>
  <si>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</si>
  <si>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</si>
  <si>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</si>
  <si>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</si>
  <si>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</si>
  <si>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</si>
  <si>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</si>
  <si>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</si>
  <si>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</si>
  <si>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</si>
  <si>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</si>
  <si>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</si>
  <si>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</si>
  <si>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</si>
  <si>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</si>
  <si>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</si>
  <si>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</si>
  <si>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</si>
  <si>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</si>
  <si>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</si>
  <si>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</si>
  <si>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</si>
  <si>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</si>
  <si>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</si>
  <si>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</si>
  <si>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</si>
  <si>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</si>
  <si>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</si>
  <si>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</si>
  <si>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</si>
  <si>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</si>
  <si>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</si>
  <si>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</si>
  <si>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</si>
  <si>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</si>
  <si>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</si>
  <si>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</si>
  <si>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</si>
  <si>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</si>
  <si>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</si>
  <si>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</si>
  <si>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</si>
  <si>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</si>
  <si>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</si>
  <si>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</si>
  <si>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</si>
  <si>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</si>
  <si>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</si>
  <si>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</si>
  <si>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</si>
  <si>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</si>
  <si>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</si>
  <si>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</si>
  <si>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</si>
  <si>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</si>
  <si>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</si>
  <si>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</si>
  <si>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</si>
  <si>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</si>
  <si>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</si>
  <si>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</si>
  <si>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</si>
  <si>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</si>
  <si>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</si>
  <si>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</si>
  <si>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</si>
  <si>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</si>
  <si>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</si>
  <si>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</si>
  <si>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</si>
  <si>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</si>
  <si>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</si>
  <si>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</si>
  <si>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</si>
  <si>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</si>
  <si>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</si>
  <si>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</si>
  <si>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</si>
  <si>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</si>
  <si>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</si>
  <si>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</si>
  <si>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</si>
  <si>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</si>
  <si>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</si>
  <si>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</si>
  <si>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</si>
  <si>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</si>
  <si>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</si>
  <si>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</si>
  <si>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</si>
  <si>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</si>
  <si>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</si>
  <si>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</si>
  <si>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</si>
  <si>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</si>
  <si>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</si>
  <si>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</si>
  <si>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</si>
  <si>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</si>
  <si>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</si>
  <si>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</si>
  <si>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1973</t>
  </si>
  <si>
    <t>1963</t>
  </si>
  <si>
    <t>1965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</si>
  <si>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</si>
  <si>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</si>
  <si>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</si>
  <si>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</si>
  <si>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</si>
  <si>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</si>
  <si>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</si>
  <si>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</si>
  <si>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</si>
  <si>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</si>
  <si>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</si>
  <si>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</si>
  <si>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</si>
  <si>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</si>
  <si>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</si>
  <si>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</si>
  <si>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</si>
  <si>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</si>
  <si>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</si>
  <si>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</si>
  <si>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</si>
  <si>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</si>
  <si>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</si>
  <si>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</si>
  <si>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</si>
  <si>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</si>
  <si>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</si>
  <si>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</si>
  <si>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</si>
  <si>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</si>
  <si>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</si>
  <si>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</si>
  <si>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</si>
  <si>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</si>
  <si>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</si>
  <si>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</si>
  <si>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</si>
  <si>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</si>
  <si>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</si>
  <si>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</si>
  <si>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</si>
  <si>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</si>
  <si>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</si>
  <si>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</si>
  <si>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</si>
  <si>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</si>
  <si>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</si>
  <si>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</si>
  <si>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</si>
  <si>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</si>
  <si>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</si>
  <si>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</si>
  <si>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</si>
  <si>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</si>
  <si>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</si>
  <si>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</si>
  <si>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</si>
  <si>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</si>
  <si>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</si>
  <si>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</si>
  <si>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</si>
  <si>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</si>
  <si>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</si>
  <si>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</si>
  <si>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</si>
  <si>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</si>
  <si>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</si>
  <si>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</si>
  <si>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</si>
  <si>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</si>
  <si>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</si>
  <si>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</si>
  <si>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</si>
  <si>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</si>
  <si>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</si>
  <si>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</si>
  <si>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</si>
  <si>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</si>
  <si>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</si>
  <si>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</si>
  <si>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</si>
  <si>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</si>
  <si>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</si>
  <si>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</si>
  <si>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</si>
  <si>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</si>
  <si>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</si>
  <si>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</si>
  <si>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</si>
  <si>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</si>
  <si>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</si>
  <si>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</si>
  <si>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</si>
  <si>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</si>
  <si>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</si>
  <si>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</si>
  <si>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</si>
  <si>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</si>
  <si>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</si>
  <si>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</si>
  <si>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</si>
  <si>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</si>
  <si>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</si>
  <si>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</si>
  <si>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</si>
  <si>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</si>
  <si>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</si>
  <si>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</si>
  <si>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</si>
  <si>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</si>
  <si>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</si>
  <si>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</si>
  <si>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</si>
  <si>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</si>
  <si>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</si>
  <si>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</si>
  <si>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</si>
  <si>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</si>
  <si>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</si>
  <si>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</si>
  <si>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</si>
  <si>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</si>
  <si>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</si>
  <si>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</si>
  <si>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</si>
  <si>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</si>
  <si>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</si>
  <si>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</si>
  <si>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</si>
  <si>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</si>
  <si>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</si>
  <si>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</si>
  <si>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</si>
  <si>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</si>
  <si>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</si>
  <si>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</si>
  <si>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</si>
  <si>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</si>
  <si>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</si>
  <si>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</si>
  <si>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</si>
  <si>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</si>
  <si>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</si>
  <si>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</si>
  <si>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</si>
  <si>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</si>
  <si>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</si>
  <si>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</si>
  <si>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</si>
  <si>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</si>
  <si>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</si>
  <si>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</si>
  <si>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</si>
  <si>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</si>
  <si>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</si>
  <si>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</si>
  <si>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</si>
  <si>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</si>
  <si>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</si>
  <si>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</si>
  <si>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</si>
  <si>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</si>
  <si>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</si>
  <si>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</si>
  <si>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</si>
  <si>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</si>
  <si>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</si>
  <si>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</si>
  <si>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</si>
  <si>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</si>
  <si>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</si>
  <si>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</si>
  <si>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</si>
  <si>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</si>
  <si>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</si>
  <si>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</si>
  <si>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</si>
  <si>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</si>
  <si>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</si>
  <si>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</si>
  <si>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</si>
  <si>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</si>
  <si>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</si>
  <si>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</si>
  <si>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</si>
  <si>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</si>
  <si>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</si>
  <si>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</si>
  <si>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</si>
  <si>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</si>
  <si>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</si>
  <si>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</si>
  <si>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</si>
  <si>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</si>
  <si>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</si>
  <si>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</si>
  <si>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</si>
  <si>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</si>
  <si>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</si>
  <si>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</si>
  <si>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</si>
  <si>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</si>
  <si>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</si>
  <si>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</si>
  <si>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</si>
  <si>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</si>
  <si>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</si>
  <si>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</si>
  <si>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</si>
  <si>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</si>
  <si>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</si>
  <si>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153</t>
  </si>
  <si>
    <t>Владимир г, Ленина пр-кт, 35Б</t>
  </si>
  <si>
    <t>Владимир г, Ленина пр-кт, 67Б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</si>
  <si>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</si>
  <si>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</si>
  <si>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</si>
  <si>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</si>
  <si>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</si>
  <si>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</si>
  <si>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</si>
  <si>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</si>
  <si>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</si>
  <si>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</si>
  <si>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</si>
  <si>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</si>
  <si>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</si>
  <si>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</si>
  <si>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</si>
  <si>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</si>
  <si>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</si>
  <si>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</si>
  <si>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</si>
  <si>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Фатьянова ул, 24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</si>
  <si>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</si>
  <si>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</si>
  <si>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</si>
  <si>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</si>
  <si>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</si>
  <si>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</si>
  <si>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</si>
  <si>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</si>
  <si>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</si>
  <si>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</si>
  <si>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</si>
  <si>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</si>
  <si>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</si>
  <si>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</si>
  <si>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</si>
  <si>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</si>
  <si>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</si>
  <si>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</si>
  <si>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</si>
  <si>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</si>
  <si>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</si>
  <si>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</si>
  <si>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</si>
  <si>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</si>
  <si>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</si>
  <si>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</si>
  <si>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</si>
  <si>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</si>
  <si>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</si>
  <si>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</si>
  <si>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</si>
  <si>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</si>
  <si>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</si>
  <si>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</si>
  <si>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</si>
  <si>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</si>
  <si>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</si>
  <si>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</si>
  <si>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</si>
  <si>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</si>
  <si>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</si>
  <si>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</si>
  <si>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</si>
  <si>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</si>
  <si>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</si>
  <si>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</si>
  <si>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</si>
  <si>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</si>
  <si>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</si>
  <si>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</si>
  <si>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</si>
  <si>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</si>
  <si>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</si>
  <si>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</si>
  <si>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</si>
  <si>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</si>
  <si>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</si>
  <si>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</si>
  <si>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</si>
  <si>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</si>
  <si>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</si>
  <si>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</si>
  <si>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</si>
  <si>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</si>
  <si>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</si>
  <si>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</si>
  <si>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</si>
  <si>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</si>
  <si>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</si>
  <si>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</si>
  <si>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</si>
  <si>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</si>
  <si>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</si>
  <si>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</si>
  <si>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</si>
  <si>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</si>
  <si>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</si>
  <si>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</si>
  <si>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</si>
  <si>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</si>
  <si>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</si>
  <si>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</si>
  <si>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</si>
  <si>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</si>
  <si>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</si>
  <si>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</si>
  <si>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</si>
  <si>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</si>
  <si>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</si>
  <si>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</si>
  <si>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</si>
  <si>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</si>
  <si>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</si>
  <si>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</si>
  <si>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</si>
  <si>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</si>
  <si>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</si>
  <si>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</si>
  <si>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</si>
  <si>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</si>
  <si>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</si>
  <si>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</si>
  <si>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</si>
  <si>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</si>
  <si>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</si>
  <si>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</si>
  <si>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</si>
  <si>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</si>
  <si>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</si>
  <si>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</si>
  <si>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</si>
  <si>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</si>
  <si>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</si>
  <si>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</si>
  <si>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</si>
  <si>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</si>
  <si>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</si>
  <si>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</si>
  <si>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</si>
  <si>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</si>
  <si>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</si>
  <si>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</si>
  <si>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</si>
  <si>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</si>
  <si>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</si>
  <si>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</si>
  <si>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</si>
  <si>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</si>
  <si>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</si>
  <si>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</si>
  <si>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</si>
  <si>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</si>
  <si>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</si>
  <si>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</si>
  <si>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</si>
  <si>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</si>
  <si>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</si>
  <si>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</si>
  <si>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</si>
  <si>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</si>
  <si>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</si>
  <si>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</si>
  <si>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</si>
  <si>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</si>
  <si>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</si>
  <si>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</si>
  <si>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</si>
  <si>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</si>
  <si>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</si>
  <si>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</si>
  <si>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</si>
  <si>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</si>
  <si>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</si>
  <si>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</si>
  <si>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</si>
  <si>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</si>
  <si>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</si>
  <si>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</si>
  <si>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</si>
  <si>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</si>
  <si>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</si>
  <si>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</si>
  <si>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</si>
  <si>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</si>
  <si>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</si>
  <si>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</si>
  <si>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</si>
  <si>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</si>
  <si>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</si>
  <si>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</si>
  <si>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</si>
  <si>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</si>
  <si>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</si>
  <si>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</si>
  <si>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</si>
  <si>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</si>
  <si>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</si>
  <si>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</si>
  <si>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</si>
  <si>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</si>
  <si>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</si>
  <si>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</si>
  <si>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</si>
  <si>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</si>
  <si>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</si>
  <si>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</si>
  <si>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</si>
  <si>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</si>
  <si>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</si>
  <si>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</si>
  <si>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</si>
  <si>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</si>
  <si>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</si>
  <si>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</si>
  <si>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</si>
  <si>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</si>
  <si>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</si>
  <si>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</si>
  <si>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</si>
  <si>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</si>
  <si>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</si>
  <si>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</si>
  <si>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</si>
  <si>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</si>
  <si>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</si>
  <si>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</si>
  <si>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</si>
  <si>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</si>
  <si>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</si>
  <si>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</si>
  <si>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</si>
  <si>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</si>
  <si>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</si>
  <si>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</si>
  <si>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</si>
  <si>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</si>
  <si>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</si>
  <si>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</si>
  <si>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</si>
  <si>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</si>
  <si>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</si>
  <si>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</si>
  <si>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</si>
  <si>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</si>
  <si>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</si>
  <si>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</si>
  <si>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</si>
  <si>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</si>
  <si>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</si>
  <si>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</si>
  <si>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</si>
  <si>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</si>
  <si>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</si>
  <si>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</si>
  <si>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</si>
  <si>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</si>
  <si>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</si>
  <si>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</si>
  <si>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</si>
  <si>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</si>
  <si>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</si>
  <si>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</si>
  <si>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</si>
  <si>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</si>
  <si>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</si>
  <si>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</si>
  <si>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</si>
  <si>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</si>
  <si>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</si>
  <si>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</si>
  <si>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</si>
  <si>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</si>
  <si>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</si>
  <si>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</si>
  <si>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</si>
  <si>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</si>
  <si>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</si>
  <si>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</si>
  <si>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</si>
  <si>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</si>
  <si>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</si>
  <si>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</si>
  <si>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</si>
  <si>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</si>
  <si>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</si>
  <si>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</si>
  <si>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</si>
  <si>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</si>
  <si>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</si>
  <si>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</si>
  <si>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</si>
  <si>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</si>
  <si>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</si>
  <si>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</si>
  <si>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</si>
  <si>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</si>
  <si>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</si>
  <si>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</si>
  <si>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</si>
  <si>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</si>
  <si>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</si>
  <si>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</si>
  <si>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</si>
  <si>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</si>
  <si>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</si>
  <si>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</si>
  <si>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</si>
  <si>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</si>
  <si>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</si>
  <si>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</si>
  <si>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</si>
  <si>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</si>
  <si>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</si>
  <si>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</si>
  <si>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</si>
  <si>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</si>
  <si>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</si>
  <si>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</si>
  <si>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</si>
  <si>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</si>
  <si>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</si>
  <si>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</si>
  <si>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</si>
  <si>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</si>
  <si>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</si>
  <si>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</si>
  <si>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</si>
  <si>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</si>
  <si>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</si>
  <si>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</si>
  <si>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</si>
  <si>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</si>
  <si>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</si>
  <si>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</si>
  <si>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</si>
  <si>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</si>
  <si>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</si>
  <si>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</si>
  <si>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</si>
  <si>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</si>
  <si>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</si>
  <si>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</si>
  <si>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</si>
  <si>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</si>
  <si>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</si>
  <si>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</si>
  <si>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</si>
  <si>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</si>
  <si>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</si>
  <si>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</si>
  <si>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</si>
  <si>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</si>
  <si>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</si>
  <si>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</si>
  <si>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</si>
  <si>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</si>
  <si>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</si>
  <si>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</si>
  <si>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</si>
  <si>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</si>
  <si>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</si>
  <si>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</si>
  <si>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</si>
  <si>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</si>
  <si>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</si>
  <si>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</si>
  <si>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</si>
  <si>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</si>
  <si>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</si>
  <si>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</si>
  <si>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</si>
  <si>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</si>
  <si>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</si>
  <si>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</si>
  <si>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</si>
  <si>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</si>
  <si>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</si>
  <si>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</si>
  <si>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</si>
  <si>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</si>
  <si>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</si>
  <si>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</si>
  <si>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</si>
  <si>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</si>
  <si>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</si>
  <si>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</si>
  <si>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</si>
  <si>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</si>
  <si>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</si>
  <si>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</si>
  <si>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</si>
  <si>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</si>
  <si>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</si>
  <si>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</si>
  <si>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</si>
  <si>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</si>
  <si>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</si>
  <si>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</si>
  <si>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</si>
  <si>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</si>
  <si>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</si>
  <si>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</si>
  <si>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</si>
  <si>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</si>
  <si>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</si>
  <si>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</si>
  <si>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</si>
  <si>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</si>
  <si>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</si>
  <si>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</si>
  <si>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</si>
  <si>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</si>
  <si>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УК "Старый город"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</si>
  <si>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</si>
  <si>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</si>
  <si>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</si>
  <si>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</si>
  <si>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</si>
  <si>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</si>
  <si>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</si>
  <si>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</si>
  <si>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</si>
  <si>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</si>
  <si>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</si>
  <si>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</si>
  <si>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</si>
  <si>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</si>
  <si>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</si>
  <si>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</si>
  <si>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</si>
  <si>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</si>
  <si>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</si>
  <si>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</si>
  <si>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</si>
  <si>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</si>
  <si>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</si>
  <si>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</si>
  <si>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</si>
  <si>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</si>
  <si>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</si>
  <si>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</si>
  <si>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</si>
  <si>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</si>
  <si>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</si>
  <si>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</si>
  <si>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</si>
  <si>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</si>
  <si>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</si>
  <si>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</si>
  <si>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</si>
  <si>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</si>
  <si>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</si>
  <si>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</si>
  <si>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</si>
  <si>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</si>
  <si>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</si>
  <si>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</si>
  <si>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</si>
  <si>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</si>
  <si>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</si>
  <si>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</si>
  <si>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</si>
  <si>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</si>
  <si>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</si>
  <si>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</si>
  <si>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</si>
  <si>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</si>
  <si>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</si>
  <si>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</si>
  <si>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</si>
  <si>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</si>
  <si>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</si>
  <si>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</si>
  <si>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</si>
  <si>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</si>
  <si>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</si>
  <si>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</si>
  <si>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</si>
  <si>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</si>
  <si>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</si>
  <si>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</si>
  <si>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</si>
  <si>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</si>
  <si>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</si>
  <si>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</si>
  <si>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</si>
  <si>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</si>
  <si>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</si>
  <si>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</si>
  <si>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</si>
  <si>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</si>
  <si>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</si>
  <si>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</si>
  <si>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</si>
  <si>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</si>
  <si>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</si>
  <si>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</si>
  <si>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</si>
  <si>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</si>
  <si>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</si>
  <si>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Ковров г, Пугачева ул, 29</t>
  </si>
  <si>
    <t>Ковров г, Ковров-8 тер, 8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</si>
  <si>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</si>
  <si>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</si>
  <si>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</si>
  <si>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</si>
  <si>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ТСН "СОГЛАСИЕ 108"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</si>
  <si>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</si>
  <si>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</si>
  <si>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</si>
  <si>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</si>
  <si>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</si>
  <si>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</si>
  <si>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</si>
  <si>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</si>
  <si>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</si>
  <si>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</si>
  <si>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</si>
  <si>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</si>
  <si>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</si>
  <si>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</si>
  <si>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</si>
  <si>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</si>
  <si>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</si>
  <si>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</si>
  <si>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</si>
  <si>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</si>
  <si>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</si>
  <si>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</si>
  <si>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</si>
  <si>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</si>
  <si>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</si>
  <si>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</si>
  <si>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</si>
  <si>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</si>
  <si>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</si>
  <si>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</si>
  <si>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</si>
  <si>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</si>
  <si>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</si>
  <si>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</si>
  <si>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</si>
  <si>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</si>
  <si>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</si>
  <si>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</si>
  <si>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</si>
  <si>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</si>
  <si>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</si>
  <si>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</si>
  <si>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</si>
  <si>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</si>
  <si>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</si>
  <si>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</si>
  <si>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</si>
  <si>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</si>
  <si>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</si>
  <si>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</si>
  <si>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</si>
  <si>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</si>
  <si>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</si>
  <si>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</si>
  <si>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</si>
  <si>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</si>
  <si>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</si>
  <si>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</si>
  <si>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</si>
  <si>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</si>
  <si>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</si>
  <si>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</si>
  <si>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</si>
  <si>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</si>
  <si>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</si>
  <si>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</si>
  <si>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</si>
  <si>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</si>
  <si>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</si>
  <si>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</si>
  <si>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</si>
  <si>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</si>
  <si>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</si>
  <si>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</si>
  <si>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</si>
  <si>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</si>
  <si>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</si>
  <si>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</si>
  <si>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</si>
  <si>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</si>
  <si>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</si>
  <si>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</si>
  <si>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</si>
  <si>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</si>
  <si>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</si>
  <si>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</si>
  <si>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</si>
  <si>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</si>
  <si>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</si>
  <si>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</si>
  <si>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</si>
  <si>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</si>
  <si>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</si>
  <si>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</si>
  <si>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</si>
  <si>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</si>
  <si>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</si>
  <si>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</si>
  <si>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</si>
  <si>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</si>
  <si>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</si>
  <si>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</si>
  <si>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</si>
  <si>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</si>
  <si>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</si>
  <si>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</si>
  <si>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</si>
  <si>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</si>
  <si>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</si>
  <si>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</si>
  <si>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</si>
  <si>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</si>
  <si>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</si>
  <si>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</si>
  <si>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</si>
  <si>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</si>
  <si>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</si>
  <si>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</si>
  <si>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</si>
  <si>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</si>
  <si>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</si>
  <si>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</si>
  <si>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</si>
  <si>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</si>
  <si>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</si>
  <si>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</si>
  <si>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</si>
  <si>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</si>
  <si>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</si>
  <si>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</si>
  <si>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</si>
  <si>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</si>
  <si>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</si>
  <si>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</si>
  <si>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</si>
  <si>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</si>
  <si>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</si>
  <si>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</si>
  <si>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</si>
  <si>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</si>
  <si>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</si>
  <si>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</si>
  <si>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</si>
  <si>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</si>
  <si>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</si>
  <si>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</si>
  <si>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</si>
  <si>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</si>
  <si>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</si>
  <si>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</si>
  <si>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</si>
  <si>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</si>
  <si>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</si>
  <si>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</si>
  <si>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</si>
  <si>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</si>
  <si>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</si>
  <si>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</si>
  <si>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</si>
  <si>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</si>
  <si>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</si>
  <si>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</si>
  <si>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</si>
  <si>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</si>
  <si>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</si>
  <si>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</si>
  <si>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</si>
  <si>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</si>
  <si>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</si>
  <si>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</si>
  <si>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</si>
  <si>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</si>
  <si>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</si>
  <si>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</si>
  <si>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</si>
  <si>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</si>
  <si>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</si>
  <si>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</si>
  <si>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</si>
  <si>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</si>
  <si>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</si>
  <si>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</si>
  <si>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</si>
  <si>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</si>
  <si>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</si>
  <si>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</si>
  <si>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</si>
  <si>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</si>
  <si>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</si>
  <si>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</si>
  <si>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</si>
  <si>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</si>
  <si>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</si>
  <si>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</si>
  <si>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</si>
  <si>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</si>
  <si>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</si>
  <si>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</si>
  <si>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</si>
  <si>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</si>
  <si>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</si>
  <si>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</si>
  <si>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</si>
  <si>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</si>
  <si>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</si>
  <si>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</si>
  <si>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</si>
  <si>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</si>
  <si>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</si>
  <si>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</si>
  <si>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</si>
  <si>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</si>
  <si>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</si>
  <si>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</si>
  <si>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</si>
  <si>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</si>
  <si>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</si>
  <si>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</si>
  <si>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</si>
  <si>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</si>
  <si>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</si>
  <si>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</si>
  <si>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</si>
  <si>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</si>
  <si>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</si>
  <si>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</si>
  <si>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</si>
  <si>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</si>
  <si>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</si>
  <si>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</si>
  <si>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</si>
  <si>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</si>
  <si>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</si>
  <si>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</si>
  <si>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</si>
  <si>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</si>
  <si>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</si>
  <si>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МКП Владимир ЖКХ</t>
  </si>
  <si>
    <t>Монолитные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</si>
  <si>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</si>
  <si>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</si>
  <si>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</si>
  <si>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</si>
  <si>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</si>
  <si>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</si>
  <si>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</si>
  <si>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</si>
  <si>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</si>
  <si>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</si>
  <si>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</si>
  <si>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</si>
  <si>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</si>
  <si>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</si>
  <si>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</si>
  <si>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</si>
  <si>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</si>
  <si>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</si>
  <si>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</si>
  <si>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</si>
  <si>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</si>
  <si>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</si>
  <si>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</si>
  <si>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</si>
  <si>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</si>
  <si>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</si>
  <si>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</si>
  <si>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</si>
  <si>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</si>
  <si>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</si>
  <si>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</si>
  <si>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</si>
  <si>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</si>
  <si>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</si>
  <si>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</si>
  <si>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</si>
  <si>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</si>
  <si>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</si>
  <si>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</si>
  <si>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</si>
  <si>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</si>
  <si>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</si>
  <si>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</si>
  <si>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</si>
  <si>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</si>
  <si>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</si>
  <si>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</si>
  <si>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</si>
  <si>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</si>
  <si>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</si>
  <si>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</si>
  <si>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</si>
  <si>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</si>
  <si>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</si>
  <si>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</si>
  <si>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</si>
  <si>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</si>
  <si>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</si>
  <si>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</si>
  <si>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</si>
  <si>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</si>
  <si>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</si>
  <si>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</si>
  <si>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</si>
  <si>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</si>
  <si>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</si>
  <si>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</si>
  <si>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</si>
  <si>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</si>
  <si>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</si>
  <si>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</si>
  <si>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</si>
  <si>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</si>
  <si>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</si>
  <si>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</si>
  <si>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</si>
  <si>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</si>
  <si>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</si>
  <si>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</si>
  <si>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</si>
  <si>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</si>
  <si>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</si>
  <si>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</si>
  <si>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</si>
  <si>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</si>
  <si>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2026-2028</t>
  </si>
  <si>
    <t>2029-2031</t>
  </si>
  <si>
    <t>2023-2025</t>
  </si>
  <si>
    <t>2028-2030</t>
  </si>
  <si>
    <t>2016-2018</t>
  </si>
  <si>
    <t>2031-2033</t>
  </si>
  <si>
    <t>2032-2034</t>
  </si>
  <si>
    <t>2024-2026</t>
  </si>
  <si>
    <t>2037-2039</t>
  </si>
  <si>
    <t>Итого по округ Муром</t>
  </si>
  <si>
    <t>2041-2043</t>
  </si>
  <si>
    <t>Итого по ЗАТО город Радужный</t>
  </si>
  <si>
    <t>Итого по Второвское</t>
  </si>
  <si>
    <t>Итого по город Поеров</t>
  </si>
  <si>
    <t>2027-2029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</si>
  <si>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</si>
  <si>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</si>
  <si>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</si>
  <si>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</si>
  <si>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</si>
  <si>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</si>
  <si>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</si>
  <si>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</si>
  <si>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</si>
  <si>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</si>
  <si>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</si>
  <si>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</si>
  <si>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</si>
  <si>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</si>
  <si>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</si>
  <si>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</si>
  <si>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</si>
  <si>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</si>
  <si>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</si>
  <si>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</si>
  <si>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</si>
  <si>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</si>
  <si>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</si>
  <si>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</si>
  <si>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</si>
  <si>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</si>
  <si>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</si>
  <si>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</si>
  <si>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</si>
  <si>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</si>
  <si>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</si>
  <si>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</si>
  <si>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</si>
  <si>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</si>
  <si>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</si>
  <si>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</si>
  <si>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</si>
  <si>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</si>
  <si>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</si>
  <si>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</si>
  <si>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</si>
  <si>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</si>
  <si>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</si>
  <si>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</si>
  <si>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</si>
  <si>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</si>
  <si>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</si>
  <si>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</si>
  <si>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</si>
  <si>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</si>
  <si>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</si>
  <si>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</si>
  <si>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</si>
  <si>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</si>
  <si>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</si>
  <si>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</si>
  <si>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</si>
  <si>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</si>
  <si>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</si>
  <si>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</si>
  <si>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</si>
  <si>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</si>
  <si>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</si>
  <si>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</si>
  <si>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</si>
  <si>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</si>
  <si>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</si>
  <si>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</si>
  <si>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</si>
  <si>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</si>
  <si>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</si>
  <si>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</si>
  <si>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</si>
  <si>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</si>
  <si>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</si>
  <si>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</si>
  <si>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</si>
  <si>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</si>
  <si>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</si>
  <si>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</si>
  <si>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</si>
  <si>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</si>
  <si>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</si>
  <si>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</si>
  <si>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</si>
  <si>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</si>
  <si>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</si>
  <si>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</si>
  <si>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</si>
  <si>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</si>
  <si>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</si>
  <si>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</si>
  <si>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</si>
  <si>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</si>
  <si>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</si>
  <si>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</si>
  <si>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</si>
  <si>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</si>
  <si>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</si>
  <si>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</si>
  <si>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</si>
  <si>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</si>
  <si>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</si>
  <si>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</si>
  <si>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</si>
  <si>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</si>
  <si>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</si>
  <si>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</si>
  <si>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</si>
  <si>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</si>
  <si>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</si>
  <si>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</si>
  <si>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</si>
  <si>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</si>
  <si>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</si>
  <si>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</si>
  <si>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</si>
  <si>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</si>
  <si>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</si>
  <si>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</si>
  <si>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</si>
  <si>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</si>
  <si>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</si>
  <si>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</si>
  <si>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</si>
  <si>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</si>
  <si>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</si>
  <si>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</si>
  <si>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</si>
  <si>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</si>
  <si>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</si>
  <si>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</si>
  <si>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</si>
  <si>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</si>
  <si>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</si>
  <si>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</si>
  <si>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</si>
  <si>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</si>
  <si>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</si>
  <si>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</si>
  <si>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</si>
  <si>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</si>
  <si>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</si>
  <si>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</si>
  <si>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</si>
  <si>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</si>
  <si>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</si>
  <si>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</si>
  <si>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</si>
  <si>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</si>
  <si>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</si>
  <si>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</si>
  <si>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</si>
  <si>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</si>
  <si>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</si>
  <si>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</si>
  <si>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</si>
  <si>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</si>
  <si>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</si>
  <si>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</si>
  <si>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</si>
  <si>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</si>
  <si>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</si>
  <si>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</si>
  <si>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</si>
  <si>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</si>
  <si>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</si>
  <si>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</si>
  <si>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</si>
  <si>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</si>
  <si>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</si>
  <si>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</si>
  <si>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</si>
  <si>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</si>
  <si>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</si>
  <si>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</si>
  <si>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</si>
  <si>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</si>
  <si>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</si>
  <si>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</si>
  <si>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</si>
  <si>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</si>
  <si>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</si>
  <si>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</si>
  <si>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</si>
  <si>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</si>
  <si>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</si>
  <si>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</si>
  <si>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</si>
  <si>
    <t>Муром г, Кленовая ул, 1/3</t>
  </si>
  <si>
    <t>Гусь-Хрустальный г, Октябрьская ул, 2</t>
  </si>
  <si>
    <t>Гусь-Хрустальный г, Ломоносова ул, 24а</t>
  </si>
  <si>
    <t>Киржач г, Совхозная ул, 1</t>
  </si>
  <si>
    <t>Александров г, Лермонтова ул, 14</t>
  </si>
  <si>
    <t>Каменные, блочные</t>
  </si>
  <si>
    <t>Петушинский р-н, Покров г, 3 Интернационала ул, 68</t>
  </si>
  <si>
    <t>ООО "МКД-СЕРВИС"</t>
  </si>
  <si>
    <t>МУП города Владимира "ГУК" </t>
  </si>
  <si>
    <t>Владимир г, Семашко ул, 13</t>
  </si>
  <si>
    <t>Ковров г, Блинова ул, 74</t>
  </si>
  <si>
    <t>Ковров г, Сосновая ул, 28</t>
  </si>
  <si>
    <t>ООО УК "Парадигма"</t>
  </si>
  <si>
    <t>ООО "УК"Парадигма"</t>
  </si>
  <si>
    <t>ООО "Наше ЖКО"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</si>
  <si>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</si>
  <si>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Гороховец г, Ленина ул, 6</t>
  </si>
  <si>
    <t>Гороховец г, Набережная ул, 28</t>
  </si>
  <si>
    <t>Судогодский р-н, Гонобилово д, Центральная ул, 1</t>
  </si>
  <si>
    <t>Владимир г, Офицерская ул, 1</t>
  </si>
  <si>
    <t>Владимир г, Юбилейная ул, 78</t>
  </si>
  <si>
    <t>Владимир г, Даргомыжского ул, 10/20</t>
  </si>
  <si>
    <t>Владимир г, Диктора Левитана ул, 55А</t>
  </si>
  <si>
    <t>Владимир г, Лакина ул, 151</t>
  </si>
  <si>
    <t>Владимир г, Чайковского ул, 32</t>
  </si>
  <si>
    <t>Владимир г, Модорова ул, 8</t>
  </si>
  <si>
    <t>Владимир г, Фейгина ул, 6/25</t>
  </si>
  <si>
    <t>Александров г, Юбилейная ул, 2</t>
  </si>
  <si>
    <t>Александров г, 1-я Крестьянская ул, 16</t>
  </si>
  <si>
    <t>Александров г, Охотный луг ул, 23</t>
  </si>
  <si>
    <t>Александров г, Маяковского ул, 18</t>
  </si>
  <si>
    <t>Муром г, Пушкина ул, 16</t>
  </si>
  <si>
    <t>Гусь-Хрустальный г, Ленинградская ул, 1а</t>
  </si>
  <si>
    <t>Гусь-Хрустальный г, Транспортная ул, 7</t>
  </si>
  <si>
    <t>Гусь-Хрустальный г, Транспортная ул, 8</t>
  </si>
  <si>
    <t>Гусь-Хрустальный г, Фрезерная ул, 4</t>
  </si>
  <si>
    <t>Владимир г, Перекопский военный городок, 20</t>
  </si>
  <si>
    <t>Владимир г, Перекопский военный городок, 10</t>
  </si>
  <si>
    <t>Владимир г, Василисина ул, 1</t>
  </si>
  <si>
    <t>Владимир г, Доватора ул, 3А</t>
  </si>
  <si>
    <t>Владимир г, Завадского ул, 3</t>
  </si>
  <si>
    <t>Владимир г, Ленина пр-кт, 64</t>
  </si>
  <si>
    <t>Владимир г, Ленина пр-кт, 68</t>
  </si>
  <si>
    <t>Владимир г, Ставровская ул, 2Б</t>
  </si>
  <si>
    <t>Владимир г, Тихонравова ул, 10</t>
  </si>
  <si>
    <t>ООО «ЖилСтройСтандарт»</t>
  </si>
  <si>
    <t>ТСЖ «Центр»</t>
  </si>
  <si>
    <t>ООО «КЭЧ»</t>
  </si>
  <si>
    <t>ООО  «Универсал Строй»»</t>
  </si>
  <si>
    <t>ООО «Квартал»</t>
  </si>
  <si>
    <t>ООО "Жилищник</t>
  </si>
  <si>
    <t>ООО «Жилремстрой»</t>
  </si>
  <si>
    <t>ЗАО «Альтернатива»</t>
  </si>
  <si>
    <t xml:space="preserve"> ООО «ТЭК»</t>
  </si>
  <si>
    <t xml:space="preserve"> ООО «УниверсалСтрой»</t>
  </si>
  <si>
    <t xml:space="preserve"> ООО «Жилремстрой»</t>
  </si>
  <si>
    <t xml:space="preserve"> МУП г.Владимира «ГУК»</t>
  </si>
  <si>
    <t>НО</t>
  </si>
  <si>
    <t>ООО «Оникс»</t>
  </si>
  <si>
    <t xml:space="preserve"> ООО «Жилищник»</t>
  </si>
  <si>
    <t>ООО «ВУК»</t>
  </si>
  <si>
    <t>ООО "ЖКС "Алдега"</t>
  </si>
  <si>
    <t>Муром г, Филатова ул, 19</t>
  </si>
  <si>
    <t>Муром г, Цветочный б-р, 4</t>
  </si>
  <si>
    <t>Радужный г, 1-й кв-л, 24</t>
  </si>
  <si>
    <t>п Красный Октябрь ул Мира д.15</t>
  </si>
  <si>
    <t>п Красный Октябрь ул Комсомольская д.1</t>
  </si>
  <si>
    <t>х</t>
  </si>
  <si>
    <t>п Малыгино ул Юбилейная д.51</t>
  </si>
  <si>
    <t>п Мелехово ул Первомайская д.53</t>
  </si>
  <si>
    <t>г Гусь-Хрустальный ул Дружбы Народов д.8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</si>
  <si>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</t>
  </si>
  <si>
    <t xml:space="preserve">Итого по Владимирской области по 2020 году: </t>
  </si>
  <si>
    <t>Юрьев-Польский г, Шибанкова ул, 160</t>
  </si>
  <si>
    <t>Итого по Владимирской области по 2020 году:</t>
  </si>
  <si>
    <t>в том числе нераспределенный остаток</t>
  </si>
  <si>
    <t>Итого по Владимирской области на 2020 год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</si>
  <si>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от 05.10.2018 №742) </t>
  </si>
  <si>
    <t>Информация по многоквартирным домам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(данные уточняются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</si>
  <si>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</si>
  <si>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</si>
  <si>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Ковров г, Волго-Донская ул, 10/1</t>
  </si>
  <si>
    <t>Ковров г, Федорова ул, 93</t>
  </si>
  <si>
    <t>Муром г, Цветочный б-р, 3</t>
  </si>
  <si>
    <t>Муром г, Советская ул, 66</t>
  </si>
  <si>
    <t>Ковров г, Брюсова ул, 52/1</t>
  </si>
  <si>
    <t>ООО"УК"ЖКО РОСКО"</t>
  </si>
  <si>
    <t>Кольчугино г, Мира ул, 15</t>
  </si>
  <si>
    <t>Кольчугино г, Луговая ул, 7</t>
  </si>
  <si>
    <t>Собинский р-н, Заречное с, Парковая ул, 5</t>
  </si>
  <si>
    <t>Собинский р-н, Заречное с, Парковая ул, 2</t>
  </si>
  <si>
    <t>Собинский р-н, Заречное с, Парковая ул, 3</t>
  </si>
  <si>
    <t>Собинский р-н, Заречное с, Парковая ул, 4</t>
  </si>
  <si>
    <t>Александров г, Совхоз Правда ул, 37</t>
  </si>
  <si>
    <t>Петушинский р-н, Костерево г, 40 лет Октября ул, 2</t>
  </si>
  <si>
    <t>Петушинский р-н, Андреевское с, 10</t>
  </si>
  <si>
    <t>Владимир г, Михайловская ул, 53</t>
  </si>
  <si>
    <t>Владимир г, Лакина ул, 159</t>
  </si>
  <si>
    <t>Владимир г, Фатьянова ул, 28</t>
  </si>
  <si>
    <t>Александров г, Стрелецкая Набережная ул, 9</t>
  </si>
  <si>
    <t>ТСЖ "Стрелецкий"</t>
  </si>
  <si>
    <t>ООО"УК ЛЮКС"</t>
  </si>
  <si>
    <t>ООО "ЖЭУ"</t>
  </si>
  <si>
    <t>ООО "ЖРЭП № 8"</t>
  </si>
  <si>
    <t>Гусь-Хрустальный р-н, Иванищи п, Южная ул, 1а</t>
  </si>
  <si>
    <t>Гусь-Хрустальный р-н, Иванищи п, Южная ул, 6</t>
  </si>
  <si>
    <t>Ковровский р-н, Гигант п, Первомайская ул, 15</t>
  </si>
  <si>
    <t>Гусь-Хрустальный г, Транспортная ул, 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</si>
</sst>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General"/>
    <numFmt numFmtId="167" formatCode="###\ ###\ ###\ ##0.00"/>
    <numFmt numFmtId="168" formatCode="###\ ###\ ###\ ##0"/>
  </numFmts>
  <fonts count="5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72"/>
      <name val="Times New Roman"/>
      <family val="1"/>
      <charset val="204"/>
    </font>
    <font>
      <sz val="72"/>
      <color indexed="8"/>
      <name val="Times New Roman"/>
      <family val="1"/>
      <charset val="204"/>
    </font>
    <font>
      <sz val="49"/>
      <color theme="1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sz val="36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6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1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7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7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3" fontId="15" fillId="0" borderId="1" xfId="0" applyNumberFormat="1" applyFont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5" fillId="0" borderId="1" xfId="28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4" fontId="37" fillId="0" borderId="1" xfId="0" applyNumberFormat="1" applyFont="1" applyFill="1" applyBorder="1"/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Fill="1" applyBorder="1" applyAlignment="1">
      <alignment horizontal="left" vertical="center"/>
    </xf>
    <xf numFmtId="3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 wrapText="1"/>
    </xf>
    <xf numFmtId="4" fontId="43" fillId="0" borderId="1" xfId="0" applyNumberFormat="1" applyFont="1" applyFill="1" applyBorder="1" applyAlignment="1">
      <alignment horizontal="right"/>
    </xf>
    <xf numFmtId="0" fontId="30" fillId="0" borderId="0" xfId="19" applyFont="1" applyFill="1" applyAlignment="1">
      <alignment horizontal="right" wrapText="1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left" wrapText="1"/>
    </xf>
    <xf numFmtId="167" fontId="2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4" fontId="28" fillId="0" borderId="1" xfId="0" applyNumberFormat="1" applyFont="1" applyFill="1" applyBorder="1" applyAlignment="1">
      <alignment horizontal="right"/>
    </xf>
    <xf numFmtId="0" fontId="35" fillId="0" borderId="1" xfId="28" applyFont="1" applyFill="1" applyBorder="1" applyAlignment="1">
      <alignment horizontal="left"/>
    </xf>
    <xf numFmtId="168" fontId="30" fillId="0" borderId="1" xfId="0" applyNumberFormat="1" applyFont="1" applyFill="1" applyBorder="1" applyAlignment="1">
      <alignment horizontal="left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right"/>
    </xf>
    <xf numFmtId="3" fontId="43" fillId="0" borderId="1" xfId="0" applyNumberFormat="1" applyFont="1" applyFill="1" applyBorder="1" applyAlignment="1">
      <alignment horizontal="center"/>
    </xf>
    <xf numFmtId="167" fontId="30" fillId="0" borderId="1" xfId="0" applyNumberFormat="1" applyFont="1" applyFill="1" applyBorder="1" applyAlignment="1">
      <alignment horizontal="left" wrapText="1"/>
    </xf>
    <xf numFmtId="4" fontId="43" fillId="0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4" fontId="0" fillId="0" borderId="0" xfId="0" applyNumberFormat="1"/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68" fontId="23" fillId="0" borderId="5" xfId="0" applyNumberFormat="1" applyFont="1" applyFill="1" applyBorder="1" applyAlignment="1">
      <alignment horizontal="center"/>
    </xf>
    <xf numFmtId="168" fontId="23" fillId="0" borderId="1" xfId="0" applyNumberFormat="1" applyFont="1" applyFill="1" applyBorder="1" applyAlignment="1">
      <alignment horizontal="left"/>
    </xf>
    <xf numFmtId="167" fontId="31" fillId="0" borderId="1" xfId="0" applyNumberFormat="1" applyFont="1" applyFill="1" applyBorder="1" applyAlignment="1">
      <alignment wrapText="1"/>
    </xf>
    <xf numFmtId="0" fontId="28" fillId="0" borderId="1" xfId="28" applyFont="1" applyFill="1" applyBorder="1" applyAlignment="1">
      <alignment horizontal="left" vertical="center"/>
    </xf>
    <xf numFmtId="0" fontId="23" fillId="0" borderId="0" xfId="0" applyFont="1" applyFill="1"/>
    <xf numFmtId="4" fontId="30" fillId="0" borderId="0" xfId="9" applyNumberFormat="1" applyFont="1" applyFill="1" applyBorder="1" applyAlignment="1">
      <alignment horizontal="center" vertical="center" textRotation="90" wrapText="1"/>
    </xf>
    <xf numFmtId="4" fontId="30" fillId="0" borderId="0" xfId="9" applyNumberFormat="1" applyFont="1" applyFill="1" applyBorder="1" applyAlignment="1">
      <alignment horizontal="center" vertical="center" wrapText="1"/>
    </xf>
    <xf numFmtId="4" fontId="30" fillId="0" borderId="0" xfId="9" applyNumberFormat="1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center" vertical="center"/>
    </xf>
    <xf numFmtId="43" fontId="0" fillId="0" borderId="0" xfId="31" applyFont="1" applyFill="1"/>
    <xf numFmtId="0" fontId="2" fillId="0" borderId="0" xfId="0" applyFont="1"/>
    <xf numFmtId="0" fontId="42" fillId="0" borderId="0" xfId="0" applyFont="1"/>
    <xf numFmtId="0" fontId="4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4" fillId="0" borderId="0" xfId="23"/>
    <xf numFmtId="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0" xfId="0" applyFont="1" applyFill="1"/>
    <xf numFmtId="4" fontId="23" fillId="2" borderId="0" xfId="0" applyNumberFormat="1" applyFont="1" applyFill="1"/>
    <xf numFmtId="0" fontId="1" fillId="0" borderId="0" xfId="0" applyFont="1"/>
    <xf numFmtId="0" fontId="45" fillId="0" borderId="0" xfId="28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4" fontId="21" fillId="0" borderId="0" xfId="8" applyNumberFormat="1" applyFont="1" applyAlignment="1">
      <alignment horizontal="center" vertical="center"/>
    </xf>
    <xf numFmtId="4" fontId="47" fillId="0" borderId="1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/>
    <xf numFmtId="4" fontId="24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3" fillId="0" borderId="1" xfId="0" applyNumberFormat="1" applyFont="1" applyBorder="1" applyAlignment="1">
      <alignment horizontal="right" vertical="center"/>
    </xf>
    <xf numFmtId="0" fontId="23" fillId="0" borderId="0" xfId="0" applyFont="1"/>
    <xf numFmtId="4" fontId="37" fillId="0" borderId="0" xfId="0" applyNumberFormat="1" applyFont="1" applyAlignment="1">
      <alignment vertical="center"/>
    </xf>
    <xf numFmtId="0" fontId="17" fillId="0" borderId="1" xfId="0" applyFont="1" applyBorder="1"/>
    <xf numFmtId="0" fontId="31" fillId="0" borderId="1" xfId="0" applyFont="1" applyBorder="1"/>
    <xf numFmtId="0" fontId="31" fillId="0" borderId="0" xfId="0" applyFont="1"/>
    <xf numFmtId="0" fontId="41" fillId="0" borderId="0" xfId="0" applyFont="1" applyAlignment="1">
      <alignment horizontal="left" vertical="center"/>
    </xf>
    <xf numFmtId="3" fontId="14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5" fillId="0" borderId="1" xfId="0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4" fontId="23" fillId="0" borderId="1" xfId="0" applyNumberFormat="1" applyFont="1" applyFill="1" applyBorder="1"/>
    <xf numFmtId="0" fontId="30" fillId="0" borderId="1" xfId="0" applyFont="1" applyFill="1" applyBorder="1"/>
    <xf numFmtId="0" fontId="37" fillId="0" borderId="1" xfId="0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3" fontId="37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left" vertical="center" wrapText="1"/>
    </xf>
    <xf numFmtId="0" fontId="35" fillId="0" borderId="1" xfId="28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4" fontId="23" fillId="0" borderId="1" xfId="8" applyNumberFormat="1" applyFont="1" applyFill="1" applyBorder="1" applyAlignment="1">
      <alignment horizontal="right"/>
    </xf>
    <xf numFmtId="4" fontId="48" fillId="0" borderId="1" xfId="0" applyNumberFormat="1" applyFont="1" applyFill="1" applyBorder="1"/>
    <xf numFmtId="0" fontId="24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vertical="center"/>
    </xf>
    <xf numFmtId="0" fontId="45" fillId="0" borderId="0" xfId="28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4" fontId="21" fillId="0" borderId="1" xfId="8" applyNumberFormat="1" applyFont="1" applyFill="1" applyBorder="1" applyAlignment="1">
      <alignment horizontal="center" vertical="center"/>
    </xf>
    <xf numFmtId="4" fontId="21" fillId="0" borderId="0" xfId="8" applyNumberFormat="1" applyFont="1" applyFill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" xfId="28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center" vertical="center"/>
    </xf>
    <xf numFmtId="0" fontId="19" fillId="0" borderId="0" xfId="0" applyFont="1"/>
    <xf numFmtId="164" fontId="0" fillId="0" borderId="0" xfId="0" applyNumberFormat="1" applyFill="1"/>
    <xf numFmtId="0" fontId="45" fillId="0" borderId="6" xfId="28" applyFont="1" applyFill="1" applyBorder="1" applyAlignment="1">
      <alignment horizontal="center" vertical="center"/>
    </xf>
    <xf numFmtId="0" fontId="45" fillId="0" borderId="7" xfId="28" applyFont="1" applyFill="1" applyBorder="1" applyAlignment="1">
      <alignment horizontal="center" vertical="center"/>
    </xf>
    <xf numFmtId="0" fontId="45" fillId="0" borderId="5" xfId="28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 textRotation="90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textRotation="90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NumberFormat="1" applyFont="1" applyFill="1" applyBorder="1" applyAlignment="1">
      <alignment horizontal="center" vertical="center" textRotation="90" wrapText="1"/>
    </xf>
    <xf numFmtId="0" fontId="30" fillId="0" borderId="1" xfId="9" applyNumberFormat="1" applyFont="1" applyFill="1" applyBorder="1" applyAlignment="1">
      <alignment horizontal="center" vertical="center"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9" fillId="0" borderId="0" xfId="23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3" fillId="0" borderId="6" xfId="0" applyNumberFormat="1" applyFont="1" applyFill="1" applyBorder="1" applyAlignment="1">
      <alignment horizontal="left"/>
    </xf>
    <xf numFmtId="168" fontId="23" fillId="0" borderId="5" xfId="0" applyNumberFormat="1" applyFont="1" applyFill="1" applyBorder="1" applyAlignment="1">
      <alignment horizontal="left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39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32">
    <cellStyle name="Excel Built-in Normal" xfId="10" xr:uid="{00000000-0005-0000-0000-000000000000}"/>
    <cellStyle name="Excel Built-in Normal 1" xfId="22" xr:uid="{00000000-0005-0000-0000-000001000000}"/>
    <cellStyle name="Excel Built-in Normal 2 2" xfId="14" xr:uid="{00000000-0005-0000-0000-000002000000}"/>
    <cellStyle name="Обычный" xfId="0" builtinId="0"/>
    <cellStyle name="Обычный 10" xfId="11" xr:uid="{00000000-0005-0000-0000-000004000000}"/>
    <cellStyle name="Обычный 11" xfId="19" xr:uid="{00000000-0005-0000-0000-000005000000}"/>
    <cellStyle name="Обычный 13" xfId="17" xr:uid="{00000000-0005-0000-0000-000006000000}"/>
    <cellStyle name="Обычный 14" xfId="1" xr:uid="{00000000-0005-0000-0000-000007000000}"/>
    <cellStyle name="Обычный 15" xfId="24" xr:uid="{00000000-0005-0000-0000-000008000000}"/>
    <cellStyle name="Обычный 17" xfId="6" xr:uid="{00000000-0005-0000-0000-000009000000}"/>
    <cellStyle name="Обычный 18" xfId="4" xr:uid="{00000000-0005-0000-0000-00000A000000}"/>
    <cellStyle name="Обычный 19" xfId="5" xr:uid="{00000000-0005-0000-0000-00000B000000}"/>
    <cellStyle name="Обычный 2" xfId="9" xr:uid="{00000000-0005-0000-0000-00000C000000}"/>
    <cellStyle name="Обычный 2 10" xfId="12" xr:uid="{00000000-0005-0000-0000-00000D000000}"/>
    <cellStyle name="Обычный 2 2 2" xfId="16" xr:uid="{00000000-0005-0000-0000-00000E000000}"/>
    <cellStyle name="Обычный 2 3" xfId="26" xr:uid="{00000000-0005-0000-0000-00000F000000}"/>
    <cellStyle name="Обычный 2 8" xfId="29" xr:uid="{00000000-0005-0000-0000-000010000000}"/>
    <cellStyle name="Обычный 21" xfId="7" xr:uid="{00000000-0005-0000-0000-000011000000}"/>
    <cellStyle name="Обычный 3" xfId="2" xr:uid="{00000000-0005-0000-0000-000012000000}"/>
    <cellStyle name="Обычный 3 16" xfId="8" xr:uid="{00000000-0005-0000-0000-000013000000}"/>
    <cellStyle name="Обычный 3 2" xfId="27" xr:uid="{00000000-0005-0000-0000-000014000000}"/>
    <cellStyle name="Обычный 3 3" xfId="15" xr:uid="{00000000-0005-0000-0000-000015000000}"/>
    <cellStyle name="Обычный 4" xfId="3" xr:uid="{00000000-0005-0000-0000-000016000000}"/>
    <cellStyle name="Обычный 4 2" xfId="13" xr:uid="{00000000-0005-0000-0000-000017000000}"/>
    <cellStyle name="Обычный 4 2 2 2" xfId="23" xr:uid="{00000000-0005-0000-0000-000018000000}"/>
    <cellStyle name="Обычный 5" xfId="20" xr:uid="{00000000-0005-0000-0000-000019000000}"/>
    <cellStyle name="Обычный 6" xfId="18" xr:uid="{00000000-0005-0000-0000-00001A000000}"/>
    <cellStyle name="Обычный 8" xfId="30" xr:uid="{00000000-0005-0000-0000-00001B000000}"/>
    <cellStyle name="Обычный 9" xfId="21" xr:uid="{00000000-0005-0000-0000-00001C000000}"/>
    <cellStyle name="Обычный_Лист1" xfId="28" xr:uid="{00000000-0005-0000-0000-00001D000000}"/>
    <cellStyle name="Финансовый" xfId="31" builtinId="3"/>
    <cellStyle name="Финансовый 2" xfId="25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1241"/>
  <sheetViews>
    <sheetView tabSelected="1" view="pageBreakPreview" topLeftCell="B1" zoomScale="20" zoomScaleNormal="20" zoomScaleSheetLayoutView="20" workbookViewId="0">
      <selection activeCell="V30" sqref="V30"/>
    </sheetView>
  </sheetViews>
  <sheetFormatPr defaultColWidth="9.140625" defaultRowHeight="15" x14ac:dyDescent="0.25"/>
  <cols>
    <col min="1" max="1" width="7.28515625" style="20" hidden="1" customWidth="1"/>
    <col min="2" max="2" width="17" style="21" bestFit="1" customWidth="1"/>
    <col min="3" max="3" width="255.7109375" style="22" bestFit="1" customWidth="1"/>
    <col min="4" max="4" width="70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83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30" width="58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77" width="9.140625" style="20"/>
    <col min="78" max="78" width="66.28515625" style="20" hidden="1" customWidth="1"/>
    <col min="79" max="79" width="0" style="20" hidden="1" customWidth="1"/>
    <col min="80" max="80" width="66.5703125" style="20" hidden="1" customWidth="1"/>
    <col min="81" max="81" width="74.140625" style="20" hidden="1" customWidth="1"/>
    <col min="82" max="82" width="55.5703125" style="20" hidden="1" customWidth="1"/>
    <col min="83" max="83" width="45.140625" style="20" hidden="1" customWidth="1"/>
    <col min="84" max="84" width="22.28515625" style="20" hidden="1" customWidth="1"/>
    <col min="85" max="86" width="0" style="20" hidden="1" customWidth="1"/>
    <col min="87" max="16384" width="9.140625" style="20"/>
  </cols>
  <sheetData>
    <row r="1" spans="2:34" ht="91.5" x14ac:dyDescent="1.25">
      <c r="B1" s="17"/>
      <c r="C1" s="18"/>
      <c r="D1" s="19"/>
      <c r="E1" s="19"/>
      <c r="F1" s="19"/>
      <c r="G1" s="19"/>
      <c r="H1" s="19"/>
      <c r="I1" s="19"/>
      <c r="J1" s="19"/>
      <c r="K1" s="80"/>
      <c r="L1" s="19"/>
      <c r="M1" s="19"/>
      <c r="N1" s="19"/>
      <c r="O1" s="19"/>
      <c r="P1" s="19"/>
      <c r="Q1" s="19"/>
      <c r="R1" s="19"/>
      <c r="S1" s="19"/>
      <c r="T1" s="19"/>
      <c r="U1" s="19"/>
      <c r="V1" s="227"/>
      <c r="W1" s="240" t="s">
        <v>1001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2:34" ht="143.25" customHeight="1" x14ac:dyDescent="0.45">
      <c r="B2" s="17"/>
      <c r="C2" s="18"/>
      <c r="D2" s="19"/>
      <c r="E2" s="19"/>
      <c r="F2" s="19"/>
      <c r="G2" s="19"/>
      <c r="H2" s="19"/>
      <c r="I2" s="19"/>
      <c r="J2" s="19"/>
      <c r="K2" s="80"/>
      <c r="L2" s="19"/>
      <c r="M2" s="19"/>
      <c r="N2" s="19"/>
      <c r="O2" s="19"/>
      <c r="P2" s="19"/>
      <c r="Q2" s="19"/>
      <c r="R2" s="19"/>
      <c r="S2" s="19"/>
      <c r="T2" s="19"/>
      <c r="U2" s="19"/>
      <c r="V2" s="241" t="s">
        <v>1002</v>
      </c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</row>
    <row r="3" spans="2:34" ht="154.5" customHeight="1" x14ac:dyDescent="1.25">
      <c r="B3" s="27"/>
      <c r="C3" s="28"/>
      <c r="D3" s="227"/>
      <c r="E3" s="227"/>
      <c r="F3" s="227"/>
      <c r="G3" s="227"/>
      <c r="H3" s="227"/>
      <c r="I3" s="227"/>
      <c r="J3" s="227"/>
      <c r="K3" s="81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41" t="s">
        <v>1003</v>
      </c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2:34" ht="90" x14ac:dyDescent="1.1499999999999999">
      <c r="B4" s="242" t="s">
        <v>1004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</row>
    <row r="5" spans="2:34" ht="90" x14ac:dyDescent="0.25">
      <c r="B5" s="243" t="s">
        <v>1005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</row>
    <row r="6" spans="2:34" ht="90" x14ac:dyDescent="0.25">
      <c r="B6" s="243" t="s">
        <v>1009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</row>
    <row r="7" spans="2:34" x14ac:dyDescent="0.25">
      <c r="B7" s="239" t="s">
        <v>1006</v>
      </c>
      <c r="C7" s="244" t="s">
        <v>1032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</row>
    <row r="8" spans="2:34" ht="117.75" customHeight="1" x14ac:dyDescent="0.25">
      <c r="B8" s="239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</row>
    <row r="9" spans="2:34" ht="117.75" customHeight="1" x14ac:dyDescent="0.25">
      <c r="B9" s="226" t="s">
        <v>1007</v>
      </c>
      <c r="C9" s="244" t="s">
        <v>1008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</row>
    <row r="10" spans="2:34" hidden="1" x14ac:dyDescent="0.25"/>
    <row r="11" spans="2:34" ht="90.75" hidden="1" customHeight="1" x14ac:dyDescent="0.25">
      <c r="B11" s="247" t="s">
        <v>6</v>
      </c>
      <c r="C11" s="247" t="s">
        <v>7</v>
      </c>
      <c r="D11" s="249" t="s">
        <v>8</v>
      </c>
      <c r="E11" s="247" t="s">
        <v>1010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8" t="s">
        <v>9</v>
      </c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6" t="s">
        <v>10</v>
      </c>
      <c r="AG11" s="246" t="s">
        <v>11</v>
      </c>
      <c r="AH11" s="246" t="s">
        <v>12</v>
      </c>
    </row>
    <row r="12" spans="2:34" ht="90.75" customHeight="1" x14ac:dyDescent="0.25">
      <c r="B12" s="247"/>
      <c r="C12" s="247"/>
      <c r="D12" s="249"/>
      <c r="E12" s="247" t="s">
        <v>13</v>
      </c>
      <c r="F12" s="247"/>
      <c r="G12" s="247"/>
      <c r="H12" s="247"/>
      <c r="I12" s="247"/>
      <c r="J12" s="247"/>
      <c r="K12" s="247" t="s">
        <v>14</v>
      </c>
      <c r="L12" s="247"/>
      <c r="M12" s="247" t="s">
        <v>15</v>
      </c>
      <c r="N12" s="247"/>
      <c r="O12" s="247" t="s">
        <v>16</v>
      </c>
      <c r="P12" s="247"/>
      <c r="Q12" s="247" t="s">
        <v>17</v>
      </c>
      <c r="R12" s="247"/>
      <c r="S12" s="247" t="s">
        <v>18</v>
      </c>
      <c r="T12" s="247"/>
      <c r="U12" s="245" t="s">
        <v>19</v>
      </c>
      <c r="V12" s="245" t="s">
        <v>20</v>
      </c>
      <c r="W12" s="245" t="s">
        <v>21</v>
      </c>
      <c r="X12" s="245" t="s">
        <v>22</v>
      </c>
      <c r="Y12" s="245" t="s">
        <v>23</v>
      </c>
      <c r="Z12" s="245" t="s">
        <v>24</v>
      </c>
      <c r="AA12" s="245" t="s">
        <v>25</v>
      </c>
      <c r="AB12" s="245" t="s">
        <v>26</v>
      </c>
      <c r="AC12" s="245" t="s">
        <v>27</v>
      </c>
      <c r="AD12" s="251" t="s">
        <v>28</v>
      </c>
      <c r="AE12" s="245" t="s">
        <v>29</v>
      </c>
      <c r="AF12" s="246"/>
      <c r="AG12" s="246"/>
      <c r="AH12" s="246"/>
    </row>
    <row r="13" spans="2:34" ht="18.75" customHeight="1" x14ac:dyDescent="0.25">
      <c r="B13" s="247"/>
      <c r="C13" s="247"/>
      <c r="D13" s="249"/>
      <c r="E13" s="246" t="s">
        <v>30</v>
      </c>
      <c r="F13" s="246" t="s">
        <v>31</v>
      </c>
      <c r="G13" s="246" t="s">
        <v>32</v>
      </c>
      <c r="H13" s="246" t="s">
        <v>33</v>
      </c>
      <c r="I13" s="246" t="s">
        <v>34</v>
      </c>
      <c r="J13" s="246" t="s">
        <v>35</v>
      </c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5"/>
      <c r="V13" s="245"/>
      <c r="W13" s="245"/>
      <c r="X13" s="245"/>
      <c r="Y13" s="245"/>
      <c r="Z13" s="245"/>
      <c r="AA13" s="245"/>
      <c r="AB13" s="245"/>
      <c r="AC13" s="245"/>
      <c r="AD13" s="251"/>
      <c r="AE13" s="245"/>
      <c r="AF13" s="246"/>
      <c r="AG13" s="246"/>
      <c r="AH13" s="246"/>
    </row>
    <row r="14" spans="2:34" ht="18.75" customHeight="1" x14ac:dyDescent="0.25">
      <c r="B14" s="247"/>
      <c r="C14" s="247"/>
      <c r="D14" s="249"/>
      <c r="E14" s="246"/>
      <c r="F14" s="246"/>
      <c r="G14" s="246"/>
      <c r="H14" s="246"/>
      <c r="I14" s="246"/>
      <c r="J14" s="246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5"/>
      <c r="V14" s="245"/>
      <c r="W14" s="245"/>
      <c r="X14" s="245"/>
      <c r="Y14" s="245"/>
      <c r="Z14" s="245"/>
      <c r="AA14" s="245"/>
      <c r="AB14" s="245"/>
      <c r="AC14" s="245"/>
      <c r="AD14" s="251"/>
      <c r="AE14" s="245"/>
      <c r="AF14" s="246"/>
      <c r="AG14" s="246"/>
      <c r="AH14" s="246"/>
    </row>
    <row r="15" spans="2:34" ht="18.75" customHeight="1" x14ac:dyDescent="0.25">
      <c r="B15" s="247"/>
      <c r="C15" s="247"/>
      <c r="D15" s="249"/>
      <c r="E15" s="246"/>
      <c r="F15" s="246"/>
      <c r="G15" s="246"/>
      <c r="H15" s="246"/>
      <c r="I15" s="246"/>
      <c r="J15" s="246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5"/>
      <c r="V15" s="245"/>
      <c r="W15" s="245"/>
      <c r="X15" s="245"/>
      <c r="Y15" s="245"/>
      <c r="Z15" s="245"/>
      <c r="AA15" s="245"/>
      <c r="AB15" s="245"/>
      <c r="AC15" s="245"/>
      <c r="AD15" s="251"/>
      <c r="AE15" s="245"/>
      <c r="AF15" s="246"/>
      <c r="AG15" s="246"/>
      <c r="AH15" s="246"/>
    </row>
    <row r="16" spans="2:34" ht="409.5" customHeight="1" x14ac:dyDescent="0.25">
      <c r="B16" s="247"/>
      <c r="C16" s="247"/>
      <c r="D16" s="249"/>
      <c r="E16" s="246"/>
      <c r="F16" s="246"/>
      <c r="G16" s="246"/>
      <c r="H16" s="246"/>
      <c r="I16" s="246"/>
      <c r="J16" s="246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5"/>
      <c r="V16" s="245"/>
      <c r="W16" s="245"/>
      <c r="X16" s="245"/>
      <c r="Y16" s="245"/>
      <c r="Z16" s="245"/>
      <c r="AA16" s="245"/>
      <c r="AB16" s="245"/>
      <c r="AC16" s="245"/>
      <c r="AD16" s="251"/>
      <c r="AE16" s="245"/>
      <c r="AF16" s="246"/>
      <c r="AG16" s="246"/>
      <c r="AH16" s="246"/>
    </row>
    <row r="17" spans="1:84" ht="80.25" customHeight="1" x14ac:dyDescent="0.25">
      <c r="B17" s="250"/>
      <c r="C17" s="250"/>
      <c r="D17" s="223" t="s">
        <v>36</v>
      </c>
      <c r="E17" s="223" t="s">
        <v>36</v>
      </c>
      <c r="F17" s="223" t="s">
        <v>36</v>
      </c>
      <c r="G17" s="223" t="s">
        <v>36</v>
      </c>
      <c r="H17" s="223" t="s">
        <v>36</v>
      </c>
      <c r="I17" s="223" t="s">
        <v>36</v>
      </c>
      <c r="J17" s="223" t="s">
        <v>36</v>
      </c>
      <c r="K17" s="82" t="s">
        <v>37</v>
      </c>
      <c r="L17" s="224" t="s">
        <v>36</v>
      </c>
      <c r="M17" s="224" t="s">
        <v>38</v>
      </c>
      <c r="N17" s="224" t="s">
        <v>36</v>
      </c>
      <c r="O17" s="224" t="s">
        <v>38</v>
      </c>
      <c r="P17" s="224" t="s">
        <v>36</v>
      </c>
      <c r="Q17" s="224" t="s">
        <v>38</v>
      </c>
      <c r="R17" s="224" t="s">
        <v>36</v>
      </c>
      <c r="S17" s="224" t="s">
        <v>39</v>
      </c>
      <c r="T17" s="224" t="s">
        <v>36</v>
      </c>
      <c r="U17" s="224" t="s">
        <v>36</v>
      </c>
      <c r="V17" s="225" t="s">
        <v>36</v>
      </c>
      <c r="W17" s="224" t="s">
        <v>36</v>
      </c>
      <c r="X17" s="224" t="s">
        <v>36</v>
      </c>
      <c r="Y17" s="223" t="s">
        <v>36</v>
      </c>
      <c r="Z17" s="224" t="s">
        <v>36</v>
      </c>
      <c r="AA17" s="224" t="s">
        <v>36</v>
      </c>
      <c r="AB17" s="224" t="s">
        <v>36</v>
      </c>
      <c r="AC17" s="224" t="s">
        <v>36</v>
      </c>
      <c r="AD17" s="223" t="s">
        <v>36</v>
      </c>
      <c r="AE17" s="224" t="s">
        <v>36</v>
      </c>
      <c r="AF17" s="246"/>
      <c r="AG17" s="246"/>
      <c r="AH17" s="246"/>
    </row>
    <row r="18" spans="1:84" ht="59.25" customHeight="1" x14ac:dyDescent="0.25">
      <c r="B18" s="224">
        <v>1</v>
      </c>
      <c r="C18" s="224">
        <v>2</v>
      </c>
      <c r="D18" s="224">
        <v>3</v>
      </c>
      <c r="E18" s="224">
        <v>4</v>
      </c>
      <c r="F18" s="224">
        <v>5</v>
      </c>
      <c r="G18" s="224">
        <v>6</v>
      </c>
      <c r="H18" s="224">
        <v>7</v>
      </c>
      <c r="I18" s="224">
        <v>8</v>
      </c>
      <c r="J18" s="224">
        <v>9</v>
      </c>
      <c r="K18" s="82">
        <v>10</v>
      </c>
      <c r="L18" s="224">
        <v>11</v>
      </c>
      <c r="M18" s="224">
        <v>12</v>
      </c>
      <c r="N18" s="224">
        <v>13</v>
      </c>
      <c r="O18" s="224">
        <v>14</v>
      </c>
      <c r="P18" s="224">
        <v>15</v>
      </c>
      <c r="Q18" s="224">
        <v>16</v>
      </c>
      <c r="R18" s="224">
        <v>17</v>
      </c>
      <c r="S18" s="224">
        <v>18</v>
      </c>
      <c r="T18" s="224">
        <v>19</v>
      </c>
      <c r="U18" s="224">
        <v>20</v>
      </c>
      <c r="V18" s="224">
        <v>21</v>
      </c>
      <c r="W18" s="224">
        <v>22</v>
      </c>
      <c r="X18" s="224">
        <v>23</v>
      </c>
      <c r="Y18" s="224">
        <v>24</v>
      </c>
      <c r="Z18" s="224">
        <v>25</v>
      </c>
      <c r="AA18" s="224">
        <v>26</v>
      </c>
      <c r="AB18" s="224">
        <v>27</v>
      </c>
      <c r="AC18" s="224">
        <v>28</v>
      </c>
      <c r="AD18" s="224">
        <v>29</v>
      </c>
      <c r="AE18" s="224">
        <v>30</v>
      </c>
      <c r="AF18" s="224">
        <v>31</v>
      </c>
      <c r="AG18" s="224">
        <v>32</v>
      </c>
      <c r="AH18" s="224">
        <v>33</v>
      </c>
    </row>
    <row r="19" spans="1:84" ht="99" customHeight="1" x14ac:dyDescent="0.85">
      <c r="B19" s="24" t="s">
        <v>777</v>
      </c>
      <c r="C19" s="126"/>
      <c r="D19" s="30">
        <f t="shared" ref="D19:AE19" si="0">D20+D550+D961</f>
        <v>3291470140.5300007</v>
      </c>
      <c r="E19" s="30">
        <f t="shared" si="0"/>
        <v>10185316.360000001</v>
      </c>
      <c r="F19" s="30">
        <f t="shared" si="0"/>
        <v>13876281.359999999</v>
      </c>
      <c r="G19" s="30">
        <f t="shared" si="0"/>
        <v>107662458.97</v>
      </c>
      <c r="H19" s="30">
        <f t="shared" si="0"/>
        <v>19408915.019999996</v>
      </c>
      <c r="I19" s="30">
        <f t="shared" si="0"/>
        <v>38210697.209999993</v>
      </c>
      <c r="J19" s="30">
        <f t="shared" si="0"/>
        <v>0</v>
      </c>
      <c r="K19" s="127">
        <f t="shared" si="0"/>
        <v>177</v>
      </c>
      <c r="L19" s="30">
        <f t="shared" si="0"/>
        <v>335862824.44999999</v>
      </c>
      <c r="M19" s="30">
        <f t="shared" si="0"/>
        <v>491617.51169511303</v>
      </c>
      <c r="N19" s="30">
        <f t="shared" si="0"/>
        <v>2196062053.3399992</v>
      </c>
      <c r="O19" s="30">
        <f t="shared" si="0"/>
        <v>2585.8000000000002</v>
      </c>
      <c r="P19" s="30">
        <f t="shared" si="0"/>
        <v>9165615.7699999996</v>
      </c>
      <c r="Q19" s="30">
        <f t="shared" si="0"/>
        <v>117247.57</v>
      </c>
      <c r="R19" s="30">
        <f t="shared" si="0"/>
        <v>350007325.49000001</v>
      </c>
      <c r="S19" s="30">
        <f t="shared" si="0"/>
        <v>1425.54</v>
      </c>
      <c r="T19" s="30">
        <f t="shared" si="0"/>
        <v>29487467.399999999</v>
      </c>
      <c r="U19" s="30">
        <f t="shared" si="0"/>
        <v>56557594.579999991</v>
      </c>
      <c r="V19" s="30">
        <f t="shared" si="0"/>
        <v>711926.25</v>
      </c>
      <c r="W19" s="30">
        <f t="shared" si="0"/>
        <v>0</v>
      </c>
      <c r="X19" s="30">
        <f t="shared" si="0"/>
        <v>0</v>
      </c>
      <c r="Y19" s="30">
        <f t="shared" si="0"/>
        <v>0</v>
      </c>
      <c r="Z19" s="30">
        <f t="shared" si="0"/>
        <v>0</v>
      </c>
      <c r="AA19" s="30">
        <f t="shared" si="0"/>
        <v>0</v>
      </c>
      <c r="AB19" s="30">
        <f t="shared" si="0"/>
        <v>0</v>
      </c>
      <c r="AC19" s="30">
        <f t="shared" si="0"/>
        <v>41861148.939999998</v>
      </c>
      <c r="AD19" s="30">
        <f t="shared" si="0"/>
        <v>79170515.389999986</v>
      </c>
      <c r="AE19" s="30">
        <f t="shared" si="0"/>
        <v>3240000</v>
      </c>
      <c r="AF19" s="72" t="s">
        <v>776</v>
      </c>
      <c r="AG19" s="72" t="s">
        <v>776</v>
      </c>
      <c r="AH19" s="88" t="s">
        <v>776</v>
      </c>
      <c r="BZ19" s="71">
        <v>3277602434.1900005</v>
      </c>
    </row>
    <row r="20" spans="1:84" ht="87.75" customHeight="1" x14ac:dyDescent="0.85">
      <c r="B20" s="24" t="s">
        <v>778</v>
      </c>
      <c r="C20" s="126"/>
      <c r="D20" s="67">
        <f t="shared" ref="D20:AE20" si="1">D21+D123+D156+D196+D230+D237+D265+D280+D273+D287+D290+D296+D302+D304+D322+D339+D346+D353+D350+D357+D361+D363+D382+D379+D384+D386+D391+D394+D396+D401+D409+D403+D411+D413+D419+D421+D426+D434+D440+D443+D453+D457+D459+D463+D465+D467+D473+D485+D494+D498+D504+D506+D508+D511+D513+D515+D522+D524+D527+D529+D538+D544+D548+D285+D461+D496+D455</f>
        <v>1546083122.99</v>
      </c>
      <c r="E20" s="67">
        <f t="shared" si="1"/>
        <v>8250229.9700000007</v>
      </c>
      <c r="F20" s="67">
        <f t="shared" si="1"/>
        <v>10262045.449999999</v>
      </c>
      <c r="G20" s="67">
        <f t="shared" si="1"/>
        <v>92332301.329999998</v>
      </c>
      <c r="H20" s="67">
        <f t="shared" si="1"/>
        <v>14805555.179999998</v>
      </c>
      <c r="I20" s="67">
        <f t="shared" si="1"/>
        <v>27302126.019999996</v>
      </c>
      <c r="J20" s="67">
        <f t="shared" si="1"/>
        <v>0</v>
      </c>
      <c r="K20" s="128">
        <f t="shared" si="1"/>
        <v>123</v>
      </c>
      <c r="L20" s="67">
        <f t="shared" si="1"/>
        <v>220868632.45000002</v>
      </c>
      <c r="M20" s="67">
        <f t="shared" si="1"/>
        <v>207066.12712090006</v>
      </c>
      <c r="N20" s="67">
        <f t="shared" si="1"/>
        <v>867227637.70999944</v>
      </c>
      <c r="O20" s="67">
        <f t="shared" si="1"/>
        <v>2161.8000000000002</v>
      </c>
      <c r="P20" s="67">
        <f t="shared" si="1"/>
        <v>7481297.5499999998</v>
      </c>
      <c r="Q20" s="67">
        <f t="shared" si="1"/>
        <v>72700.509999999995</v>
      </c>
      <c r="R20" s="67">
        <f t="shared" si="1"/>
        <v>217085901.42999998</v>
      </c>
      <c r="S20" s="67">
        <f t="shared" si="1"/>
        <v>656.77</v>
      </c>
      <c r="T20" s="67">
        <f t="shared" si="1"/>
        <v>10694639.91</v>
      </c>
      <c r="U20" s="67">
        <f t="shared" si="1"/>
        <v>29564339.119999997</v>
      </c>
      <c r="V20" s="67">
        <f t="shared" si="1"/>
        <v>711926.25</v>
      </c>
      <c r="W20" s="67">
        <f t="shared" si="1"/>
        <v>0</v>
      </c>
      <c r="X20" s="67">
        <f t="shared" si="1"/>
        <v>0</v>
      </c>
      <c r="Y20" s="67">
        <f t="shared" si="1"/>
        <v>0</v>
      </c>
      <c r="Z20" s="67">
        <f t="shared" si="1"/>
        <v>0</v>
      </c>
      <c r="AA20" s="67">
        <f t="shared" si="1"/>
        <v>0</v>
      </c>
      <c r="AB20" s="67">
        <f t="shared" si="1"/>
        <v>0</v>
      </c>
      <c r="AC20" s="67">
        <f t="shared" si="1"/>
        <v>18726843.469999999</v>
      </c>
      <c r="AD20" s="67">
        <f t="shared" si="1"/>
        <v>18609647.149999999</v>
      </c>
      <c r="AE20" s="67">
        <f t="shared" si="1"/>
        <v>2160000</v>
      </c>
      <c r="AF20" s="72" t="s">
        <v>776</v>
      </c>
      <c r="AG20" s="72" t="s">
        <v>776</v>
      </c>
      <c r="AH20" s="88" t="s">
        <v>776</v>
      </c>
      <c r="BZ20" s="71">
        <v>1686794801.2800004</v>
      </c>
    </row>
    <row r="21" spans="1:84" ht="61.5" x14ac:dyDescent="0.85">
      <c r="B21" s="24" t="s">
        <v>1117</v>
      </c>
      <c r="C21" s="205"/>
      <c r="D21" s="67">
        <f t="shared" ref="D21:AE21" si="2">SUM(D22:D122)</f>
        <v>329108529.99000001</v>
      </c>
      <c r="E21" s="67">
        <f t="shared" si="2"/>
        <v>138685.66</v>
      </c>
      <c r="F21" s="67">
        <f t="shared" si="2"/>
        <v>0</v>
      </c>
      <c r="G21" s="67">
        <f t="shared" si="2"/>
        <v>600000</v>
      </c>
      <c r="H21" s="67">
        <f t="shared" si="2"/>
        <v>279243.65999999997</v>
      </c>
      <c r="I21" s="67">
        <f t="shared" si="2"/>
        <v>0</v>
      </c>
      <c r="J21" s="67">
        <f t="shared" si="2"/>
        <v>0</v>
      </c>
      <c r="K21" s="128">
        <f t="shared" si="2"/>
        <v>30</v>
      </c>
      <c r="L21" s="67">
        <f t="shared" si="2"/>
        <v>60248921.530000001</v>
      </c>
      <c r="M21" s="67">
        <f t="shared" si="2"/>
        <v>52474.640000000007</v>
      </c>
      <c r="N21" s="67">
        <f t="shared" si="2"/>
        <v>191734845.38000003</v>
      </c>
      <c r="O21" s="67">
        <f t="shared" si="2"/>
        <v>780</v>
      </c>
      <c r="P21" s="67">
        <f t="shared" si="2"/>
        <v>1041700</v>
      </c>
      <c r="Q21" s="67">
        <f t="shared" si="2"/>
        <v>23626.379999999994</v>
      </c>
      <c r="R21" s="67">
        <f t="shared" si="2"/>
        <v>64956294.920000009</v>
      </c>
      <c r="S21" s="67">
        <f t="shared" si="2"/>
        <v>0</v>
      </c>
      <c r="T21" s="67">
        <f t="shared" si="2"/>
        <v>0</v>
      </c>
      <c r="U21" s="67">
        <f t="shared" si="2"/>
        <v>4132272.85</v>
      </c>
      <c r="V21" s="67">
        <f t="shared" si="2"/>
        <v>0</v>
      </c>
      <c r="W21" s="67">
        <f t="shared" si="2"/>
        <v>0</v>
      </c>
      <c r="X21" s="67">
        <f t="shared" si="2"/>
        <v>0</v>
      </c>
      <c r="Y21" s="67">
        <f t="shared" si="2"/>
        <v>0</v>
      </c>
      <c r="Z21" s="67">
        <f t="shared" si="2"/>
        <v>0</v>
      </c>
      <c r="AA21" s="67">
        <f t="shared" si="2"/>
        <v>0</v>
      </c>
      <c r="AB21" s="67">
        <f t="shared" si="2"/>
        <v>0</v>
      </c>
      <c r="AC21" s="67">
        <f t="shared" si="2"/>
        <v>3864358.9399999995</v>
      </c>
      <c r="AD21" s="67">
        <f t="shared" si="2"/>
        <v>2112207.0500000003</v>
      </c>
      <c r="AE21" s="67">
        <f t="shared" si="2"/>
        <v>0</v>
      </c>
      <c r="AF21" s="72" t="s">
        <v>776</v>
      </c>
      <c r="AG21" s="72" t="s">
        <v>776</v>
      </c>
      <c r="AH21" s="88" t="s">
        <v>776</v>
      </c>
      <c r="BZ21" s="71">
        <v>383462452.64000016</v>
      </c>
    </row>
    <row r="22" spans="1:84" ht="61.5" x14ac:dyDescent="0.85">
      <c r="A22" s="20">
        <v>1</v>
      </c>
      <c r="B22" s="66">
        <f>SUBTOTAL(103,$A$22:A22)</f>
        <v>1</v>
      </c>
      <c r="C22" s="24" t="s">
        <v>490</v>
      </c>
      <c r="D22" s="31">
        <f>E22+F22+G22+H22+I22+J22+L22+N22+P22+R22+T22+U22+V22+W22+X22+Y22+Z22+AA22+AB22+AC22+AD22+AE22</f>
        <v>2167261.7599999998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v>0</v>
      </c>
      <c r="L22" s="31">
        <v>0</v>
      </c>
      <c r="M22" s="31">
        <v>433.51</v>
      </c>
      <c r="N22" s="31">
        <v>2075821.44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31137.32</v>
      </c>
      <c r="AD22" s="31">
        <v>60303</v>
      </c>
      <c r="AE22" s="31">
        <v>0</v>
      </c>
      <c r="AF22" s="34">
        <v>2020</v>
      </c>
      <c r="AG22" s="34">
        <v>2020</v>
      </c>
      <c r="AH22" s="35">
        <v>2020</v>
      </c>
      <c r="AT22" s="20" t="e">
        <f t="shared" ref="AT22:AT37" si="3">VLOOKUP(C22,AW:AX,2,FALSE)</f>
        <v>#N/A</v>
      </c>
      <c r="AW22" s="20" t="s">
        <v>505</v>
      </c>
      <c r="AX22" s="20">
        <v>1</v>
      </c>
      <c r="BZ22" s="71"/>
      <c r="CD22" s="20" t="e">
        <f t="shared" ref="CD22:CD85" si="4">VLOOKUP(C22,CE:CF,2,FALSE)</f>
        <v>#N/A</v>
      </c>
      <c r="CE22" s="136" t="s">
        <v>495</v>
      </c>
      <c r="CF22" s="136">
        <v>644</v>
      </c>
    </row>
    <row r="23" spans="1:84" ht="61.5" x14ac:dyDescent="0.85">
      <c r="A23" s="20">
        <v>1</v>
      </c>
      <c r="B23" s="66">
        <f>SUBTOTAL(103,$A$22:A23)</f>
        <v>2</v>
      </c>
      <c r="C23" s="24" t="s">
        <v>1092</v>
      </c>
      <c r="D23" s="31">
        <f t="shared" ref="D23:D86" si="5">E23+F23+G23+H23+I23+J23+L23+N23+P23+R23+T23+U23+V23+W23+X23+Y23+Z23+AA23+AB23+AC23+AD23+AE23</f>
        <v>2182367.5499999998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v>0</v>
      </c>
      <c r="L23" s="31">
        <v>0</v>
      </c>
      <c r="M23" s="31">
        <v>500</v>
      </c>
      <c r="N23" s="31">
        <v>2081368.47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31220.53</v>
      </c>
      <c r="AD23" s="31">
        <v>69778.55</v>
      </c>
      <c r="AE23" s="31">
        <v>0</v>
      </c>
      <c r="AF23" s="34">
        <v>2020</v>
      </c>
      <c r="AG23" s="34">
        <v>2020</v>
      </c>
      <c r="AH23" s="35">
        <v>2020</v>
      </c>
      <c r="AT23" s="20" t="e">
        <f t="shared" si="3"/>
        <v>#N/A</v>
      </c>
      <c r="AW23" s="20" t="s">
        <v>401</v>
      </c>
      <c r="AX23" s="20">
        <v>1</v>
      </c>
      <c r="BZ23" s="71"/>
      <c r="CD23" s="20" t="e">
        <f t="shared" si="4"/>
        <v>#N/A</v>
      </c>
      <c r="CE23" s="136" t="s">
        <v>503</v>
      </c>
      <c r="CF23" s="136">
        <v>761.5</v>
      </c>
    </row>
    <row r="24" spans="1:84" ht="61.5" x14ac:dyDescent="0.85">
      <c r="A24" s="20">
        <v>1</v>
      </c>
      <c r="B24" s="66">
        <f>SUBTOTAL(103,$A$22:A24)</f>
        <v>3</v>
      </c>
      <c r="C24" s="24" t="s">
        <v>491</v>
      </c>
      <c r="D24" s="31">
        <f t="shared" si="5"/>
        <v>2146111.33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v>1</v>
      </c>
      <c r="L24" s="31">
        <v>2146111.33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4" t="s">
        <v>274</v>
      </c>
      <c r="AG24" s="34">
        <v>2020</v>
      </c>
      <c r="AH24" s="35" t="s">
        <v>274</v>
      </c>
      <c r="AT24" s="20" t="e">
        <f t="shared" si="3"/>
        <v>#N/A</v>
      </c>
      <c r="AW24" s="20" t="s">
        <v>643</v>
      </c>
      <c r="AX24" s="20">
        <v>1</v>
      </c>
      <c r="BZ24" s="71"/>
      <c r="CD24" s="20" t="e">
        <f t="shared" si="4"/>
        <v>#N/A</v>
      </c>
      <c r="CE24" s="136" t="s">
        <v>521</v>
      </c>
      <c r="CF24" s="136">
        <v>342</v>
      </c>
    </row>
    <row r="25" spans="1:84" ht="61.5" x14ac:dyDescent="0.85">
      <c r="A25" s="20">
        <v>1</v>
      </c>
      <c r="B25" s="66">
        <f>SUBTOTAL(103,$A$22:A25)</f>
        <v>4</v>
      </c>
      <c r="C25" s="24" t="s">
        <v>492</v>
      </c>
      <c r="D25" s="31">
        <f t="shared" si="5"/>
        <v>2530096.7899999996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3">
        <v>0</v>
      </c>
      <c r="L25" s="31">
        <v>0</v>
      </c>
      <c r="M25" s="31">
        <v>600</v>
      </c>
      <c r="N25" s="31">
        <v>2392486.84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35887.300000000003</v>
      </c>
      <c r="AD25" s="31">
        <v>101722.65</v>
      </c>
      <c r="AE25" s="31">
        <v>0</v>
      </c>
      <c r="AF25" s="34">
        <v>2020</v>
      </c>
      <c r="AG25" s="34">
        <v>2020</v>
      </c>
      <c r="AH25" s="35">
        <v>2020</v>
      </c>
      <c r="AT25" s="20" t="e">
        <f t="shared" si="3"/>
        <v>#N/A</v>
      </c>
      <c r="AW25" s="20" t="s">
        <v>49</v>
      </c>
      <c r="AX25" s="20">
        <v>1</v>
      </c>
      <c r="BZ25" s="71"/>
      <c r="CD25" s="20" t="e">
        <f t="shared" si="4"/>
        <v>#N/A</v>
      </c>
      <c r="CE25" s="136" t="s">
        <v>528</v>
      </c>
      <c r="CF25" s="136">
        <v>1603.24</v>
      </c>
    </row>
    <row r="26" spans="1:84" ht="61.5" x14ac:dyDescent="0.85">
      <c r="A26" s="20">
        <v>1</v>
      </c>
      <c r="B26" s="66">
        <f>SUBTOTAL(103,$A$22:A26)</f>
        <v>5</v>
      </c>
      <c r="C26" s="24" t="s">
        <v>493</v>
      </c>
      <c r="D26" s="31">
        <f t="shared" si="5"/>
        <v>2571347.14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v>0</v>
      </c>
      <c r="L26" s="31">
        <v>0</v>
      </c>
      <c r="M26" s="222">
        <v>632.16999999999996</v>
      </c>
      <c r="N26" s="31">
        <v>2533346.94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38000.199999999997</v>
      </c>
      <c r="AD26" s="31">
        <v>0</v>
      </c>
      <c r="AE26" s="31">
        <v>0</v>
      </c>
      <c r="AF26" s="34" t="s">
        <v>274</v>
      </c>
      <c r="AG26" s="34">
        <v>2020</v>
      </c>
      <c r="AH26" s="35">
        <v>2020</v>
      </c>
      <c r="AT26" s="20" t="e">
        <f t="shared" si="3"/>
        <v>#N/A</v>
      </c>
      <c r="AW26" s="20" t="s">
        <v>412</v>
      </c>
      <c r="AX26" s="20">
        <v>1</v>
      </c>
      <c r="BZ26" s="71"/>
      <c r="CD26" s="20" t="e">
        <f t="shared" si="4"/>
        <v>#N/A</v>
      </c>
      <c r="CE26" s="136" t="s">
        <v>529</v>
      </c>
      <c r="CF26" s="136">
        <v>2070.63</v>
      </c>
    </row>
    <row r="27" spans="1:84" ht="61.5" x14ac:dyDescent="0.85">
      <c r="A27" s="20">
        <v>1</v>
      </c>
      <c r="B27" s="66">
        <f>SUBTOTAL(103,$A$22:A27)</f>
        <v>6</v>
      </c>
      <c r="C27" s="24" t="s">
        <v>494</v>
      </c>
      <c r="D27" s="31">
        <f t="shared" si="5"/>
        <v>1642072.83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3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499.8</v>
      </c>
      <c r="R27" s="31">
        <v>1617805.74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24267.09</v>
      </c>
      <c r="AD27" s="31">
        <v>0</v>
      </c>
      <c r="AE27" s="31">
        <v>0</v>
      </c>
      <c r="AF27" s="34" t="s">
        <v>274</v>
      </c>
      <c r="AG27" s="34">
        <v>2020</v>
      </c>
      <c r="AH27" s="35">
        <v>2020</v>
      </c>
      <c r="AT27" s="20" t="e">
        <f t="shared" si="3"/>
        <v>#N/A</v>
      </c>
      <c r="AW27" s="20" t="s">
        <v>637</v>
      </c>
      <c r="AX27" s="20">
        <v>1</v>
      </c>
      <c r="BZ27" s="71"/>
      <c r="CD27" s="20" t="e">
        <f t="shared" si="4"/>
        <v>#N/A</v>
      </c>
      <c r="CE27" s="136" t="s">
        <v>532</v>
      </c>
      <c r="CF27" s="136">
        <v>600</v>
      </c>
    </row>
    <row r="28" spans="1:84" ht="61.5" x14ac:dyDescent="0.85">
      <c r="A28" s="20">
        <v>1</v>
      </c>
      <c r="B28" s="66">
        <f>SUBTOTAL(103,$A$22:A28)</f>
        <v>7</v>
      </c>
      <c r="C28" s="24" t="s">
        <v>495</v>
      </c>
      <c r="D28" s="31">
        <f t="shared" si="5"/>
        <v>2362258.88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  <c r="L28" s="31">
        <v>0</v>
      </c>
      <c r="M28" s="31">
        <v>644</v>
      </c>
      <c r="N28" s="31">
        <v>2327348.65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34910.230000000003</v>
      </c>
      <c r="AD28" s="31">
        <v>0</v>
      </c>
      <c r="AE28" s="31">
        <v>0</v>
      </c>
      <c r="AF28" s="34" t="s">
        <v>274</v>
      </c>
      <c r="AG28" s="34">
        <v>2020</v>
      </c>
      <c r="AH28" s="35">
        <v>2020</v>
      </c>
      <c r="AT28" s="20" t="e">
        <f t="shared" si="3"/>
        <v>#N/A</v>
      </c>
      <c r="AW28" s="20" t="s">
        <v>636</v>
      </c>
      <c r="AX28" s="20">
        <v>1</v>
      </c>
      <c r="BZ28" s="71"/>
      <c r="CD28" s="20">
        <f t="shared" si="4"/>
        <v>644</v>
      </c>
      <c r="CE28" s="136" t="s">
        <v>1399</v>
      </c>
      <c r="CF28" s="136">
        <v>334.02</v>
      </c>
    </row>
    <row r="29" spans="1:84" ht="61.5" x14ac:dyDescent="0.85">
      <c r="A29" s="20">
        <v>1</v>
      </c>
      <c r="B29" s="66">
        <f>SUBTOTAL(103,$A$22:A29)</f>
        <v>8</v>
      </c>
      <c r="C29" s="24" t="s">
        <v>497</v>
      </c>
      <c r="D29" s="31">
        <f t="shared" si="5"/>
        <v>2862415.7800000003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3">
        <v>0</v>
      </c>
      <c r="L29" s="31">
        <v>0</v>
      </c>
      <c r="M29" s="31">
        <v>604</v>
      </c>
      <c r="N29" s="31">
        <v>2758281.62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41374.22</v>
      </c>
      <c r="AD29" s="31">
        <v>62759.94</v>
      </c>
      <c r="AE29" s="31">
        <v>0</v>
      </c>
      <c r="AF29" s="34">
        <v>2020</v>
      </c>
      <c r="AG29" s="34">
        <v>2020</v>
      </c>
      <c r="AH29" s="35">
        <v>2020</v>
      </c>
      <c r="AT29" s="20" t="e">
        <f t="shared" si="3"/>
        <v>#N/A</v>
      </c>
      <c r="AW29" s="20" t="s">
        <v>240</v>
      </c>
      <c r="AX29" s="20">
        <v>1</v>
      </c>
      <c r="BZ29" s="71"/>
      <c r="CD29" s="20" t="e">
        <f t="shared" si="4"/>
        <v>#N/A</v>
      </c>
      <c r="CE29" s="136" t="s">
        <v>1150</v>
      </c>
      <c r="CF29" s="136">
        <v>1124.75</v>
      </c>
    </row>
    <row r="30" spans="1:84" ht="61.5" x14ac:dyDescent="0.85">
      <c r="A30" s="20">
        <v>1</v>
      </c>
      <c r="B30" s="66">
        <f>SUBTOTAL(103,$A$22:A30)</f>
        <v>9</v>
      </c>
      <c r="C30" s="24" t="s">
        <v>498</v>
      </c>
      <c r="D30" s="31">
        <f t="shared" si="5"/>
        <v>2020290.18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3">
        <v>0</v>
      </c>
      <c r="L30" s="31">
        <v>0</v>
      </c>
      <c r="M30" s="31">
        <v>591</v>
      </c>
      <c r="N30" s="31">
        <v>1921468.16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28822.02</v>
      </c>
      <c r="AD30" s="31">
        <v>70000</v>
      </c>
      <c r="AE30" s="31">
        <v>0</v>
      </c>
      <c r="AF30" s="34">
        <v>2020</v>
      </c>
      <c r="AG30" s="34">
        <v>2020</v>
      </c>
      <c r="AH30" s="35">
        <v>2020</v>
      </c>
      <c r="AT30" s="20" t="e">
        <f t="shared" si="3"/>
        <v>#N/A</v>
      </c>
      <c r="AW30" s="20" t="s">
        <v>130</v>
      </c>
      <c r="AX30" s="20">
        <v>1</v>
      </c>
      <c r="BZ30" s="71"/>
      <c r="CD30" s="20" t="e">
        <f t="shared" si="4"/>
        <v>#N/A</v>
      </c>
      <c r="CE30" s="136" t="s">
        <v>459</v>
      </c>
      <c r="CF30" s="136">
        <v>555.39</v>
      </c>
    </row>
    <row r="31" spans="1:84" ht="61.5" x14ac:dyDescent="0.85">
      <c r="A31" s="20">
        <v>1</v>
      </c>
      <c r="B31" s="66">
        <f>SUBTOTAL(103,$A$22:A31)</f>
        <v>10</v>
      </c>
      <c r="C31" s="24" t="s">
        <v>499</v>
      </c>
      <c r="D31" s="31">
        <f t="shared" si="5"/>
        <v>2575132.3800000004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  <c r="L31" s="31">
        <v>0</v>
      </c>
      <c r="M31" s="31">
        <v>612</v>
      </c>
      <c r="N31" s="31">
        <v>2439751.14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36596.269999999997</v>
      </c>
      <c r="AD31" s="31">
        <v>98784.97</v>
      </c>
      <c r="AE31" s="31">
        <v>0</v>
      </c>
      <c r="AF31" s="34">
        <v>2020</v>
      </c>
      <c r="AG31" s="34">
        <v>2020</v>
      </c>
      <c r="AH31" s="35">
        <v>2020</v>
      </c>
      <c r="AT31" s="20" t="e">
        <f t="shared" si="3"/>
        <v>#N/A</v>
      </c>
      <c r="AW31" s="20" t="s">
        <v>442</v>
      </c>
      <c r="AX31" s="20">
        <v>1</v>
      </c>
      <c r="BZ31" s="71"/>
      <c r="CD31" s="20" t="e">
        <f t="shared" si="4"/>
        <v>#N/A</v>
      </c>
      <c r="CE31" s="136" t="s">
        <v>462</v>
      </c>
      <c r="CF31" s="136">
        <v>865.12</v>
      </c>
    </row>
    <row r="32" spans="1:84" ht="61.5" x14ac:dyDescent="0.85">
      <c r="A32" s="20">
        <v>1</v>
      </c>
      <c r="B32" s="66">
        <f>SUBTOTAL(103,$A$22:A32)</f>
        <v>11</v>
      </c>
      <c r="C32" s="24" t="s">
        <v>500</v>
      </c>
      <c r="D32" s="31">
        <f t="shared" si="5"/>
        <v>3274095.59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  <c r="L32" s="31">
        <v>0</v>
      </c>
      <c r="M32" s="31">
        <v>1089.8</v>
      </c>
      <c r="N32" s="31">
        <v>3225709.94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48385.65</v>
      </c>
      <c r="AD32" s="31">
        <v>0</v>
      </c>
      <c r="AE32" s="31">
        <v>0</v>
      </c>
      <c r="AF32" s="34" t="s">
        <v>274</v>
      </c>
      <c r="AG32" s="34">
        <v>2020</v>
      </c>
      <c r="AH32" s="35">
        <v>2020</v>
      </c>
      <c r="AT32" s="20" t="e">
        <f t="shared" si="3"/>
        <v>#N/A</v>
      </c>
      <c r="AW32" s="20" t="s">
        <v>812</v>
      </c>
      <c r="AX32" s="20">
        <v>1</v>
      </c>
      <c r="BZ32" s="71"/>
      <c r="CD32" s="20">
        <f t="shared" si="4"/>
        <v>1089.8</v>
      </c>
      <c r="CE32" s="136" t="s">
        <v>464</v>
      </c>
      <c r="CF32" s="136">
        <v>860.91</v>
      </c>
    </row>
    <row r="33" spans="1:84" ht="61.5" x14ac:dyDescent="0.85">
      <c r="A33" s="20">
        <v>1</v>
      </c>
      <c r="B33" s="66">
        <f>SUBTOTAL(103,$A$22:A33)</f>
        <v>12</v>
      </c>
      <c r="C33" s="24" t="s">
        <v>501</v>
      </c>
      <c r="D33" s="31">
        <f t="shared" si="5"/>
        <v>3988187.17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  <c r="L33" s="31">
        <v>0</v>
      </c>
      <c r="M33" s="31">
        <v>947.4</v>
      </c>
      <c r="N33" s="31">
        <v>3830803.35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57462.05</v>
      </c>
      <c r="AD33" s="31">
        <v>99921.77</v>
      </c>
      <c r="AE33" s="31">
        <v>0</v>
      </c>
      <c r="AF33" s="34">
        <v>2020</v>
      </c>
      <c r="AG33" s="34">
        <v>2020</v>
      </c>
      <c r="AH33" s="35">
        <v>2020</v>
      </c>
      <c r="AT33" s="20" t="e">
        <f t="shared" si="3"/>
        <v>#N/A</v>
      </c>
      <c r="AW33" s="20" t="s">
        <v>811</v>
      </c>
      <c r="AX33" s="20">
        <v>1</v>
      </c>
      <c r="BZ33" s="71"/>
      <c r="CD33" s="20" t="e">
        <f t="shared" si="4"/>
        <v>#N/A</v>
      </c>
      <c r="CE33" s="136" t="s">
        <v>795</v>
      </c>
      <c r="CF33" s="136">
        <v>1319.27</v>
      </c>
    </row>
    <row r="34" spans="1:84" ht="61.5" x14ac:dyDescent="0.85">
      <c r="A34" s="20">
        <v>1</v>
      </c>
      <c r="B34" s="66">
        <f>SUBTOTAL(103,$A$22:A34)</f>
        <v>13</v>
      </c>
      <c r="C34" s="24" t="s">
        <v>502</v>
      </c>
      <c r="D34" s="31">
        <f t="shared" si="5"/>
        <v>1987488.72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3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541.86</v>
      </c>
      <c r="R34" s="31">
        <v>1958116.97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29371.75</v>
      </c>
      <c r="AD34" s="31">
        <v>0</v>
      </c>
      <c r="AE34" s="31">
        <v>0</v>
      </c>
      <c r="AF34" s="34" t="s">
        <v>274</v>
      </c>
      <c r="AG34" s="34">
        <v>2020</v>
      </c>
      <c r="AH34" s="35">
        <v>2020</v>
      </c>
      <c r="AT34" s="20" t="e">
        <f t="shared" si="3"/>
        <v>#N/A</v>
      </c>
      <c r="AW34" s="20" t="s">
        <v>838</v>
      </c>
      <c r="AX34" s="20">
        <v>1</v>
      </c>
      <c r="BZ34" s="71"/>
      <c r="CD34" s="20" t="e">
        <f t="shared" si="4"/>
        <v>#N/A</v>
      </c>
      <c r="CE34" s="136" t="s">
        <v>686</v>
      </c>
      <c r="CF34" s="136">
        <v>900</v>
      </c>
    </row>
    <row r="35" spans="1:84" ht="61.5" x14ac:dyDescent="0.85">
      <c r="A35" s="20">
        <v>1</v>
      </c>
      <c r="B35" s="66">
        <f>SUBTOTAL(103,$A$22:A35)</f>
        <v>14</v>
      </c>
      <c r="C35" s="24" t="s">
        <v>503</v>
      </c>
      <c r="D35" s="31">
        <f t="shared" si="5"/>
        <v>2688426.41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3">
        <v>0</v>
      </c>
      <c r="L35" s="31">
        <v>0</v>
      </c>
      <c r="M35" s="31">
        <v>761.5</v>
      </c>
      <c r="N35" s="31">
        <v>2648695.9700000002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39730.44</v>
      </c>
      <c r="AD35" s="31">
        <v>0</v>
      </c>
      <c r="AE35" s="31">
        <v>0</v>
      </c>
      <c r="AF35" s="34" t="s">
        <v>274</v>
      </c>
      <c r="AG35" s="34">
        <v>2020</v>
      </c>
      <c r="AH35" s="35">
        <v>2020</v>
      </c>
      <c r="AT35" s="20" t="e">
        <f t="shared" si="3"/>
        <v>#N/A</v>
      </c>
      <c r="AW35" s="20" t="s">
        <v>692</v>
      </c>
      <c r="AX35" s="20">
        <v>1</v>
      </c>
      <c r="BZ35" s="71"/>
      <c r="CD35" s="20">
        <f t="shared" si="4"/>
        <v>761.5</v>
      </c>
      <c r="CE35" s="136" t="s">
        <v>687</v>
      </c>
      <c r="CF35" s="136">
        <v>900</v>
      </c>
    </row>
    <row r="36" spans="1:84" ht="61.5" x14ac:dyDescent="0.85">
      <c r="A36" s="20">
        <v>1</v>
      </c>
      <c r="B36" s="66">
        <f>SUBTOTAL(103,$A$22:A36)</f>
        <v>15</v>
      </c>
      <c r="C36" s="24" t="s">
        <v>504</v>
      </c>
      <c r="D36" s="31">
        <f t="shared" si="5"/>
        <v>3621937.8699999996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3">
        <v>0</v>
      </c>
      <c r="L36" s="31">
        <v>0</v>
      </c>
      <c r="M36" s="31">
        <v>1041.5</v>
      </c>
      <c r="N36" s="31">
        <v>3568500.36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53437.51</v>
      </c>
      <c r="AD36" s="31">
        <v>0</v>
      </c>
      <c r="AE36" s="31">
        <v>0</v>
      </c>
      <c r="AF36" s="34" t="s">
        <v>274</v>
      </c>
      <c r="AG36" s="34">
        <v>2020</v>
      </c>
      <c r="AH36" s="35">
        <v>2020</v>
      </c>
      <c r="AT36" s="20" t="e">
        <f t="shared" si="3"/>
        <v>#N/A</v>
      </c>
      <c r="AW36" s="20" t="s">
        <v>226</v>
      </c>
      <c r="AX36" s="20">
        <v>1</v>
      </c>
      <c r="BZ36" s="71"/>
      <c r="CD36" s="20">
        <f t="shared" si="4"/>
        <v>1041.5</v>
      </c>
      <c r="CE36" s="136" t="s">
        <v>688</v>
      </c>
      <c r="CF36" s="136">
        <v>900</v>
      </c>
    </row>
    <row r="37" spans="1:84" ht="61.5" x14ac:dyDescent="0.85">
      <c r="A37" s="20">
        <v>1</v>
      </c>
      <c r="B37" s="66">
        <f>SUBTOTAL(103,$A$22:A37)</f>
        <v>16</v>
      </c>
      <c r="C37" s="24" t="s">
        <v>505</v>
      </c>
      <c r="D37" s="31">
        <f t="shared" si="5"/>
        <v>17545640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3">
        <v>8</v>
      </c>
      <c r="L37" s="31">
        <v>17545640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4" t="s">
        <v>274</v>
      </c>
      <c r="AG37" s="34">
        <v>2020</v>
      </c>
      <c r="AH37" s="35" t="s">
        <v>274</v>
      </c>
      <c r="AT37" s="20">
        <f t="shared" si="3"/>
        <v>1</v>
      </c>
      <c r="BZ37" s="71"/>
      <c r="CD37" s="20" t="e">
        <f t="shared" si="4"/>
        <v>#N/A</v>
      </c>
      <c r="CE37" s="136" t="s">
        <v>1603</v>
      </c>
      <c r="CF37" s="136">
        <v>870</v>
      </c>
    </row>
    <row r="38" spans="1:84" ht="61.5" x14ac:dyDescent="0.85">
      <c r="A38" s="20">
        <v>1</v>
      </c>
      <c r="B38" s="66">
        <f>SUBTOTAL(103,$A$22:A38)</f>
        <v>17</v>
      </c>
      <c r="C38" s="24" t="s">
        <v>506</v>
      </c>
      <c r="D38" s="31">
        <f t="shared" si="5"/>
        <v>855995.43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3">
        <v>0</v>
      </c>
      <c r="L38" s="31">
        <v>0</v>
      </c>
      <c r="M38" s="31">
        <v>315.06</v>
      </c>
      <c r="N38" s="31">
        <v>843345.25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12650.18</v>
      </c>
      <c r="AD38" s="31">
        <v>0</v>
      </c>
      <c r="AE38" s="31">
        <v>0</v>
      </c>
      <c r="AF38" s="34" t="s">
        <v>274</v>
      </c>
      <c r="AG38" s="34">
        <v>2020</v>
      </c>
      <c r="AH38" s="35">
        <v>2020</v>
      </c>
      <c r="BZ38" s="71"/>
      <c r="CD38" s="20" t="e">
        <f t="shared" si="4"/>
        <v>#N/A</v>
      </c>
      <c r="CE38" s="136" t="s">
        <v>122</v>
      </c>
      <c r="CF38" s="136">
        <v>313.10000000000002</v>
      </c>
    </row>
    <row r="39" spans="1:84" ht="61.5" x14ac:dyDescent="0.85">
      <c r="A39" s="20">
        <v>1</v>
      </c>
      <c r="B39" s="66">
        <f>SUBTOTAL(103,$A$22:A39)</f>
        <v>18</v>
      </c>
      <c r="C39" s="24" t="s">
        <v>507</v>
      </c>
      <c r="D39" s="31">
        <f t="shared" si="5"/>
        <v>4696932.55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3">
        <v>0</v>
      </c>
      <c r="L39" s="31">
        <v>0</v>
      </c>
      <c r="M39" s="31">
        <v>1020</v>
      </c>
      <c r="N39" s="31">
        <v>4627519.75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69412.800000000003</v>
      </c>
      <c r="AD39" s="31">
        <v>0</v>
      </c>
      <c r="AE39" s="31">
        <v>0</v>
      </c>
      <c r="AF39" s="34" t="s">
        <v>274</v>
      </c>
      <c r="AG39" s="34">
        <v>2020</v>
      </c>
      <c r="AH39" s="35">
        <v>2020</v>
      </c>
      <c r="AT39" s="20" t="e">
        <f>VLOOKUP(C39,AW:AX,2,FALSE)</f>
        <v>#N/A</v>
      </c>
      <c r="BZ39" s="71"/>
      <c r="CD39" s="20" t="e">
        <f t="shared" si="4"/>
        <v>#N/A</v>
      </c>
      <c r="CE39" s="136" t="s">
        <v>172</v>
      </c>
      <c r="CF39" s="136">
        <v>412.82</v>
      </c>
    </row>
    <row r="40" spans="1:84" ht="61.5" x14ac:dyDescent="0.85">
      <c r="A40" s="20">
        <v>1</v>
      </c>
      <c r="B40" s="66">
        <f>SUBTOTAL(103,$A$22:A40)</f>
        <v>19</v>
      </c>
      <c r="C40" s="24" t="s">
        <v>508</v>
      </c>
      <c r="D40" s="31">
        <f t="shared" si="5"/>
        <v>1982389.7899999998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3">
        <v>0</v>
      </c>
      <c r="L40" s="31">
        <v>0</v>
      </c>
      <c r="M40" s="31">
        <v>350</v>
      </c>
      <c r="N40" s="31">
        <v>1953093.39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29296.400000000001</v>
      </c>
      <c r="AD40" s="31">
        <v>0</v>
      </c>
      <c r="AE40" s="31">
        <v>0</v>
      </c>
      <c r="AF40" s="34" t="s">
        <v>274</v>
      </c>
      <c r="AG40" s="34">
        <v>2020</v>
      </c>
      <c r="AH40" s="35">
        <v>2020</v>
      </c>
      <c r="AT40" s="20" t="e">
        <f>VLOOKUP(C40,AW:AX,2,FALSE)</f>
        <v>#N/A</v>
      </c>
      <c r="BZ40" s="71"/>
      <c r="CD40" s="20" t="e">
        <f t="shared" si="4"/>
        <v>#N/A</v>
      </c>
      <c r="CE40" s="136" t="s">
        <v>1319</v>
      </c>
      <c r="CF40" s="136">
        <v>735</v>
      </c>
    </row>
    <row r="41" spans="1:84" ht="61.5" x14ac:dyDescent="0.85">
      <c r="A41" s="20">
        <v>1</v>
      </c>
      <c r="B41" s="66">
        <f>SUBTOTAL(103,$A$22:A41)</f>
        <v>20</v>
      </c>
      <c r="C41" s="24" t="s">
        <v>509</v>
      </c>
      <c r="D41" s="31">
        <f t="shared" si="5"/>
        <v>4074712.4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3">
        <v>0</v>
      </c>
      <c r="L41" s="31">
        <v>0</v>
      </c>
      <c r="M41" s="31">
        <v>800</v>
      </c>
      <c r="N41" s="31">
        <v>4014495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60217.4</v>
      </c>
      <c r="AD41" s="31">
        <v>0</v>
      </c>
      <c r="AE41" s="31">
        <v>0</v>
      </c>
      <c r="AF41" s="34" t="s">
        <v>274</v>
      </c>
      <c r="AG41" s="34">
        <v>2020</v>
      </c>
      <c r="AH41" s="35">
        <v>2020</v>
      </c>
      <c r="AT41" s="20" t="e">
        <f>VLOOKUP(C41,AW:AX,2,FALSE)</f>
        <v>#N/A</v>
      </c>
      <c r="BZ41" s="71"/>
      <c r="CD41" s="20" t="e">
        <f t="shared" si="4"/>
        <v>#N/A</v>
      </c>
      <c r="CE41" s="136" t="s">
        <v>153</v>
      </c>
      <c r="CF41" s="136">
        <v>833.9</v>
      </c>
    </row>
    <row r="42" spans="1:84" ht="61.5" x14ac:dyDescent="0.85">
      <c r="A42" s="20">
        <v>1</v>
      </c>
      <c r="B42" s="66">
        <f>SUBTOTAL(103,$A$22:A42)</f>
        <v>21</v>
      </c>
      <c r="C42" s="24" t="s">
        <v>511</v>
      </c>
      <c r="D42" s="31">
        <f t="shared" si="5"/>
        <v>4205685.74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3">
        <v>0</v>
      </c>
      <c r="L42" s="31">
        <v>0</v>
      </c>
      <c r="M42" s="31">
        <v>1100</v>
      </c>
      <c r="N42" s="31">
        <v>4143532.75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62152.99</v>
      </c>
      <c r="AD42" s="31">
        <v>0</v>
      </c>
      <c r="AE42" s="31">
        <v>0</v>
      </c>
      <c r="AF42" s="34" t="s">
        <v>274</v>
      </c>
      <c r="AG42" s="34">
        <v>2020</v>
      </c>
      <c r="AH42" s="35">
        <v>2020</v>
      </c>
      <c r="AT42" s="20" t="e">
        <f>VLOOKUP(C42,AW:AX,2,FALSE)</f>
        <v>#N/A</v>
      </c>
      <c r="BZ42" s="71"/>
      <c r="CD42" s="20" t="e">
        <f t="shared" si="4"/>
        <v>#N/A</v>
      </c>
      <c r="CE42" s="136" t="s">
        <v>154</v>
      </c>
      <c r="CF42" s="136">
        <v>1035.9000000000001</v>
      </c>
    </row>
    <row r="43" spans="1:84" ht="61.5" x14ac:dyDescent="0.85">
      <c r="A43" s="20">
        <v>1</v>
      </c>
      <c r="B43" s="66">
        <f>SUBTOTAL(103,$A$22:A43)</f>
        <v>22</v>
      </c>
      <c r="C43" s="24" t="s">
        <v>1674</v>
      </c>
      <c r="D43" s="31">
        <f t="shared" si="5"/>
        <v>2349201.9300000002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3">
        <v>0</v>
      </c>
      <c r="L43" s="31">
        <v>0</v>
      </c>
      <c r="M43" s="31">
        <v>574.01</v>
      </c>
      <c r="N43" s="31">
        <v>2314484.66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34717.269999999997</v>
      </c>
      <c r="AD43" s="31">
        <v>0</v>
      </c>
      <c r="AE43" s="31">
        <v>0</v>
      </c>
      <c r="AF43" s="34" t="s">
        <v>274</v>
      </c>
      <c r="AG43" s="34">
        <v>2020</v>
      </c>
      <c r="AH43" s="35">
        <v>2020</v>
      </c>
      <c r="BZ43" s="71"/>
      <c r="CD43" s="20" t="e">
        <f t="shared" si="4"/>
        <v>#N/A</v>
      </c>
      <c r="CE43" s="136" t="s">
        <v>500</v>
      </c>
      <c r="CF43" s="136">
        <v>1089.8</v>
      </c>
    </row>
    <row r="44" spans="1:84" ht="61.5" x14ac:dyDescent="0.85">
      <c r="A44" s="20">
        <v>1</v>
      </c>
      <c r="B44" s="66">
        <f>SUBTOTAL(103,$A$22:A44)</f>
        <v>23</v>
      </c>
      <c r="C44" s="24" t="s">
        <v>512</v>
      </c>
      <c r="D44" s="31">
        <f t="shared" si="5"/>
        <v>4136394.6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3">
        <v>0</v>
      </c>
      <c r="L44" s="31">
        <v>0</v>
      </c>
      <c r="M44" s="31">
        <v>912.9</v>
      </c>
      <c r="N44" s="31">
        <v>4075265.62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61128.98</v>
      </c>
      <c r="AD44" s="31">
        <v>0</v>
      </c>
      <c r="AE44" s="31">
        <v>0</v>
      </c>
      <c r="AF44" s="34" t="s">
        <v>274</v>
      </c>
      <c r="AG44" s="34">
        <v>2020</v>
      </c>
      <c r="AH44" s="35">
        <v>2020</v>
      </c>
      <c r="AT44" s="20" t="e">
        <f t="shared" ref="AT44:AT53" si="6">VLOOKUP(C44,AW:AX,2,FALSE)</f>
        <v>#N/A</v>
      </c>
      <c r="BZ44" s="71"/>
      <c r="CD44" s="20" t="e">
        <f t="shared" si="4"/>
        <v>#N/A</v>
      </c>
      <c r="CE44" s="136" t="s">
        <v>504</v>
      </c>
      <c r="CF44" s="136">
        <v>1041.5</v>
      </c>
    </row>
    <row r="45" spans="1:84" ht="61.5" x14ac:dyDescent="0.85">
      <c r="A45" s="20">
        <v>1</v>
      </c>
      <c r="B45" s="66">
        <f>SUBTOTAL(103,$A$22:A45)</f>
        <v>24</v>
      </c>
      <c r="C45" s="24" t="s">
        <v>513</v>
      </c>
      <c r="D45" s="31">
        <f t="shared" si="5"/>
        <v>679000</v>
      </c>
      <c r="E45" s="31">
        <v>0</v>
      </c>
      <c r="F45" s="31">
        <v>0</v>
      </c>
      <c r="G45" s="31">
        <v>600000</v>
      </c>
      <c r="H45" s="31">
        <v>0</v>
      </c>
      <c r="I45" s="31">
        <v>0</v>
      </c>
      <c r="J45" s="31">
        <v>0</v>
      </c>
      <c r="K45" s="3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9000</v>
      </c>
      <c r="AD45" s="31">
        <v>70000</v>
      </c>
      <c r="AE45" s="31">
        <v>0</v>
      </c>
      <c r="AF45" s="34">
        <v>2020</v>
      </c>
      <c r="AG45" s="34">
        <v>2020</v>
      </c>
      <c r="AH45" s="35">
        <v>2020</v>
      </c>
      <c r="AT45" s="20" t="e">
        <f t="shared" si="6"/>
        <v>#N/A</v>
      </c>
      <c r="BZ45" s="71"/>
      <c r="CD45" s="20" t="e">
        <f t="shared" si="4"/>
        <v>#N/A</v>
      </c>
      <c r="CE45" s="136" t="s">
        <v>526</v>
      </c>
      <c r="CF45" s="136">
        <v>702.2</v>
      </c>
    </row>
    <row r="46" spans="1:84" ht="61.5" x14ac:dyDescent="0.85">
      <c r="A46" s="20">
        <v>1</v>
      </c>
      <c r="B46" s="66">
        <f>SUBTOTAL(103,$A$22:A46)</f>
        <v>25</v>
      </c>
      <c r="C46" s="24" t="s">
        <v>514</v>
      </c>
      <c r="D46" s="31">
        <f t="shared" si="5"/>
        <v>2593678.4700000002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3">
        <v>0</v>
      </c>
      <c r="L46" s="31">
        <v>0</v>
      </c>
      <c r="M46" s="31">
        <v>489</v>
      </c>
      <c r="N46" s="31">
        <v>2499497.7000000002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37492.47</v>
      </c>
      <c r="AD46" s="31">
        <v>56688.3</v>
      </c>
      <c r="AE46" s="31">
        <v>0</v>
      </c>
      <c r="AF46" s="34">
        <v>2020</v>
      </c>
      <c r="AG46" s="34">
        <v>2020</v>
      </c>
      <c r="AH46" s="35">
        <v>2020</v>
      </c>
      <c r="AT46" s="20" t="e">
        <f t="shared" si="6"/>
        <v>#N/A</v>
      </c>
      <c r="BZ46" s="71"/>
      <c r="CD46" s="20" t="e">
        <f t="shared" si="4"/>
        <v>#N/A</v>
      </c>
      <c r="CE46" s="136" t="s">
        <v>530</v>
      </c>
      <c r="CF46" s="136">
        <v>777.1</v>
      </c>
    </row>
    <row r="47" spans="1:84" ht="61.5" x14ac:dyDescent="0.85">
      <c r="A47" s="20">
        <v>1</v>
      </c>
      <c r="B47" s="66">
        <f>SUBTOTAL(103,$A$22:A47)</f>
        <v>26</v>
      </c>
      <c r="C47" s="24" t="s">
        <v>515</v>
      </c>
      <c r="D47" s="31">
        <f t="shared" si="5"/>
        <v>2400313.5499999998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3">
        <v>0</v>
      </c>
      <c r="L47" s="31">
        <v>0</v>
      </c>
      <c r="M47" s="31">
        <v>605</v>
      </c>
      <c r="N47" s="31">
        <v>2277092.88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34156.39</v>
      </c>
      <c r="AD47" s="31">
        <v>89064.28</v>
      </c>
      <c r="AE47" s="31">
        <v>0</v>
      </c>
      <c r="AF47" s="34">
        <v>2020</v>
      </c>
      <c r="AG47" s="34">
        <v>2020</v>
      </c>
      <c r="AH47" s="35">
        <v>2020</v>
      </c>
      <c r="AT47" s="20" t="e">
        <f t="shared" si="6"/>
        <v>#N/A</v>
      </c>
      <c r="BZ47" s="71"/>
      <c r="CD47" s="20" t="e">
        <f t="shared" si="4"/>
        <v>#N/A</v>
      </c>
      <c r="CE47" s="136" t="s">
        <v>531</v>
      </c>
      <c r="CF47" s="136">
        <v>1000</v>
      </c>
    </row>
    <row r="48" spans="1:84" ht="61.5" x14ac:dyDescent="0.85">
      <c r="A48" s="20">
        <v>1</v>
      </c>
      <c r="B48" s="66">
        <f>SUBTOTAL(103,$A$22:A48)</f>
        <v>27</v>
      </c>
      <c r="C48" s="24" t="s">
        <v>516</v>
      </c>
      <c r="D48" s="31">
        <f t="shared" si="5"/>
        <v>3267511.32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3">
        <v>0</v>
      </c>
      <c r="L48" s="31">
        <v>0</v>
      </c>
      <c r="M48" s="31">
        <v>780</v>
      </c>
      <c r="N48" s="31">
        <v>3136532.06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47047.98</v>
      </c>
      <c r="AD48" s="31">
        <v>83931.28</v>
      </c>
      <c r="AE48" s="31">
        <v>0</v>
      </c>
      <c r="AF48" s="34">
        <v>2020</v>
      </c>
      <c r="AG48" s="34">
        <v>2020</v>
      </c>
      <c r="AH48" s="35">
        <v>2020</v>
      </c>
      <c r="AT48" s="20" t="e">
        <f t="shared" si="6"/>
        <v>#N/A</v>
      </c>
      <c r="BZ48" s="71"/>
      <c r="CD48" s="20" t="e">
        <f t="shared" si="4"/>
        <v>#N/A</v>
      </c>
      <c r="CE48" s="136" t="s">
        <v>534</v>
      </c>
      <c r="CF48" s="136">
        <v>800</v>
      </c>
    </row>
    <row r="49" spans="1:84" ht="61.5" x14ac:dyDescent="0.85">
      <c r="A49" s="20">
        <v>1</v>
      </c>
      <c r="B49" s="66">
        <f>SUBTOTAL(103,$A$22:A49)</f>
        <v>28</v>
      </c>
      <c r="C49" s="24" t="s">
        <v>517</v>
      </c>
      <c r="D49" s="31">
        <f t="shared" si="5"/>
        <v>13915854.74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3">
        <v>7</v>
      </c>
      <c r="L49" s="31">
        <v>13915854.74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4" t="s">
        <v>274</v>
      </c>
      <c r="AG49" s="34">
        <v>2020</v>
      </c>
      <c r="AH49" s="35" t="s">
        <v>274</v>
      </c>
      <c r="AT49" s="20" t="e">
        <f t="shared" si="6"/>
        <v>#N/A</v>
      </c>
      <c r="BZ49" s="71"/>
      <c r="CD49" s="20" t="e">
        <f t="shared" si="4"/>
        <v>#N/A</v>
      </c>
      <c r="CE49" s="136" t="s">
        <v>537</v>
      </c>
      <c r="CF49" s="136">
        <v>1180.0999999999999</v>
      </c>
    </row>
    <row r="50" spans="1:84" ht="61.5" x14ac:dyDescent="0.85">
      <c r="A50" s="20">
        <v>1</v>
      </c>
      <c r="B50" s="66">
        <f>SUBTOTAL(103,$A$22:A50)</f>
        <v>29</v>
      </c>
      <c r="C50" s="24" t="s">
        <v>518</v>
      </c>
      <c r="D50" s="31">
        <f t="shared" si="5"/>
        <v>4260892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3">
        <v>2</v>
      </c>
      <c r="L50" s="31">
        <v>4260892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4" t="s">
        <v>274</v>
      </c>
      <c r="AG50" s="34">
        <v>2020</v>
      </c>
      <c r="AH50" s="35" t="s">
        <v>274</v>
      </c>
      <c r="AT50" s="20" t="e">
        <f t="shared" si="6"/>
        <v>#N/A</v>
      </c>
      <c r="BZ50" s="71"/>
      <c r="CD50" s="20" t="e">
        <f t="shared" si="4"/>
        <v>#N/A</v>
      </c>
      <c r="CE50" s="136" t="s">
        <v>1401</v>
      </c>
      <c r="CF50" s="136">
        <v>789</v>
      </c>
    </row>
    <row r="51" spans="1:84" ht="61.5" x14ac:dyDescent="0.85">
      <c r="A51" s="20">
        <v>1</v>
      </c>
      <c r="B51" s="66">
        <f>SUBTOTAL(103,$A$22:A51)</f>
        <v>30</v>
      </c>
      <c r="C51" s="24" t="s">
        <v>519</v>
      </c>
      <c r="D51" s="31">
        <f t="shared" si="5"/>
        <v>2178303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3">
        <v>1</v>
      </c>
      <c r="L51" s="31">
        <v>2178303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4" t="s">
        <v>274</v>
      </c>
      <c r="AG51" s="34">
        <v>2020</v>
      </c>
      <c r="AH51" s="35" t="s">
        <v>274</v>
      </c>
      <c r="AT51" s="20" t="e">
        <f t="shared" si="6"/>
        <v>#N/A</v>
      </c>
      <c r="BZ51" s="71"/>
      <c r="CD51" s="20" t="e">
        <f t="shared" si="4"/>
        <v>#N/A</v>
      </c>
      <c r="CE51" s="136" t="s">
        <v>1124</v>
      </c>
      <c r="CF51" s="136">
        <v>1147.7</v>
      </c>
    </row>
    <row r="52" spans="1:84" ht="61.5" x14ac:dyDescent="0.85">
      <c r="A52" s="20">
        <v>1</v>
      </c>
      <c r="B52" s="66">
        <f>SUBTOTAL(103,$A$22:A52)</f>
        <v>31</v>
      </c>
      <c r="C52" s="24" t="s">
        <v>520</v>
      </c>
      <c r="D52" s="31">
        <f t="shared" si="5"/>
        <v>4396606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3">
        <v>2</v>
      </c>
      <c r="L52" s="31">
        <v>4396606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4" t="s">
        <v>274</v>
      </c>
      <c r="AG52" s="34">
        <v>2020</v>
      </c>
      <c r="AH52" s="35" t="s">
        <v>274</v>
      </c>
      <c r="AT52" s="20" t="e">
        <f t="shared" si="6"/>
        <v>#N/A</v>
      </c>
      <c r="BZ52" s="71"/>
      <c r="CD52" s="20" t="e">
        <f t="shared" si="4"/>
        <v>#N/A</v>
      </c>
      <c r="CE52" s="136" t="s">
        <v>1125</v>
      </c>
      <c r="CF52" s="136">
        <v>218.8</v>
      </c>
    </row>
    <row r="53" spans="1:84" ht="61.5" x14ac:dyDescent="0.85">
      <c r="A53" s="20">
        <v>1</v>
      </c>
      <c r="B53" s="66">
        <f>SUBTOTAL(103,$A$22:A53)</f>
        <v>32</v>
      </c>
      <c r="C53" s="24" t="s">
        <v>521</v>
      </c>
      <c r="D53" s="31">
        <f t="shared" si="5"/>
        <v>1258287.8499999999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3">
        <v>0</v>
      </c>
      <c r="L53" s="31">
        <v>0</v>
      </c>
      <c r="M53" s="31">
        <v>342</v>
      </c>
      <c r="N53" s="31">
        <v>1239692.46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18595.39</v>
      </c>
      <c r="AD53" s="31">
        <v>0</v>
      </c>
      <c r="AE53" s="31">
        <v>0</v>
      </c>
      <c r="AF53" s="34" t="s">
        <v>274</v>
      </c>
      <c r="AG53" s="34">
        <v>2020</v>
      </c>
      <c r="AH53" s="35">
        <v>2020</v>
      </c>
      <c r="AT53" s="20" t="e">
        <f t="shared" si="6"/>
        <v>#N/A</v>
      </c>
      <c r="BZ53" s="71"/>
      <c r="CD53" s="20">
        <f t="shared" si="4"/>
        <v>342</v>
      </c>
      <c r="CE53" s="136" t="s">
        <v>1126</v>
      </c>
      <c r="CF53" s="136">
        <v>912.27</v>
      </c>
    </row>
    <row r="54" spans="1:84" ht="61.5" x14ac:dyDescent="0.85">
      <c r="A54" s="20">
        <v>1</v>
      </c>
      <c r="B54" s="66">
        <f>SUBTOTAL(103,$A$22:A54)</f>
        <v>33</v>
      </c>
      <c r="C54" s="24" t="s">
        <v>522</v>
      </c>
      <c r="D54" s="31">
        <f t="shared" si="5"/>
        <v>947034.45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3">
        <v>0</v>
      </c>
      <c r="L54" s="31">
        <v>0</v>
      </c>
      <c r="M54" s="31">
        <v>207</v>
      </c>
      <c r="N54" s="31">
        <v>933038.87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13995.58</v>
      </c>
      <c r="AD54" s="31">
        <v>0</v>
      </c>
      <c r="AE54" s="31">
        <v>0</v>
      </c>
      <c r="AF54" s="34" t="s">
        <v>274</v>
      </c>
      <c r="AG54" s="34">
        <v>2020</v>
      </c>
      <c r="AH54" s="35">
        <v>2020</v>
      </c>
      <c r="BZ54" s="71"/>
      <c r="CD54" s="20" t="e">
        <f t="shared" si="4"/>
        <v>#N/A</v>
      </c>
      <c r="CE54" s="136" t="s">
        <v>1130</v>
      </c>
      <c r="CF54" s="136">
        <v>979.44</v>
      </c>
    </row>
    <row r="55" spans="1:84" ht="61.5" x14ac:dyDescent="0.85">
      <c r="A55" s="20">
        <v>1</v>
      </c>
      <c r="B55" s="66">
        <f>SUBTOTAL(103,$A$22:A55)</f>
        <v>34</v>
      </c>
      <c r="C55" s="24" t="s">
        <v>523</v>
      </c>
      <c r="D55" s="31">
        <f t="shared" si="5"/>
        <v>1287913.6700000002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3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424.4</v>
      </c>
      <c r="R55" s="31">
        <v>1223063.8700000001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18345.96</v>
      </c>
      <c r="AD55" s="31">
        <v>46503.839999999997</v>
      </c>
      <c r="AE55" s="31">
        <v>0</v>
      </c>
      <c r="AF55" s="34">
        <v>2020</v>
      </c>
      <c r="AG55" s="34">
        <v>2020</v>
      </c>
      <c r="AH55" s="35">
        <v>2020</v>
      </c>
      <c r="AT55" s="20" t="e">
        <f t="shared" ref="AT55:AT70" si="7">VLOOKUP(C55,AW:AX,2,FALSE)</f>
        <v>#N/A</v>
      </c>
      <c r="BZ55" s="71"/>
      <c r="CD55" s="20" t="e">
        <f t="shared" si="4"/>
        <v>#N/A</v>
      </c>
      <c r="CE55" s="136" t="s">
        <v>1131</v>
      </c>
      <c r="CF55" s="136">
        <v>730.17</v>
      </c>
    </row>
    <row r="56" spans="1:84" ht="61.5" x14ac:dyDescent="0.85">
      <c r="A56" s="20">
        <v>1</v>
      </c>
      <c r="B56" s="66">
        <f>SUBTOTAL(103,$A$22:A56)</f>
        <v>35</v>
      </c>
      <c r="C56" s="24" t="s">
        <v>524</v>
      </c>
      <c r="D56" s="31">
        <f t="shared" si="5"/>
        <v>2178303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3">
        <v>1</v>
      </c>
      <c r="L56" s="31">
        <v>2178303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4" t="s">
        <v>274</v>
      </c>
      <c r="AG56" s="34">
        <v>2020</v>
      </c>
      <c r="AH56" s="35" t="s">
        <v>274</v>
      </c>
      <c r="AT56" s="20" t="e">
        <f t="shared" si="7"/>
        <v>#N/A</v>
      </c>
      <c r="BZ56" s="71"/>
      <c r="CD56" s="20" t="e">
        <f t="shared" si="4"/>
        <v>#N/A</v>
      </c>
      <c r="CE56" s="136" t="s">
        <v>1134</v>
      </c>
      <c r="CF56" s="136">
        <v>874.18</v>
      </c>
    </row>
    <row r="57" spans="1:84" ht="61.5" x14ac:dyDescent="0.85">
      <c r="A57" s="20">
        <v>1</v>
      </c>
      <c r="B57" s="66">
        <f>SUBTOTAL(103,$A$22:A57)</f>
        <v>36</v>
      </c>
      <c r="C57" s="24" t="s">
        <v>525</v>
      </c>
      <c r="D57" s="31">
        <f t="shared" si="5"/>
        <v>2502648.29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3">
        <v>0</v>
      </c>
      <c r="L57" s="31">
        <v>0</v>
      </c>
      <c r="M57" s="31">
        <v>952</v>
      </c>
      <c r="N57" s="31">
        <v>2383654.73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35754.82</v>
      </c>
      <c r="AD57" s="31">
        <v>83238.740000000005</v>
      </c>
      <c r="AE57" s="31">
        <v>0</v>
      </c>
      <c r="AF57" s="34">
        <v>2020</v>
      </c>
      <c r="AG57" s="34">
        <v>2020</v>
      </c>
      <c r="AH57" s="35">
        <v>2020</v>
      </c>
      <c r="AT57" s="20" t="e">
        <f t="shared" si="7"/>
        <v>#N/A</v>
      </c>
      <c r="BZ57" s="71"/>
      <c r="CD57" s="20">
        <f t="shared" si="4"/>
        <v>952</v>
      </c>
      <c r="CE57" s="136" t="s">
        <v>1136</v>
      </c>
      <c r="CF57" s="136">
        <v>1200</v>
      </c>
    </row>
    <row r="58" spans="1:84" ht="61.5" x14ac:dyDescent="0.85">
      <c r="A58" s="20">
        <v>1</v>
      </c>
      <c r="B58" s="66">
        <f>SUBTOTAL(103,$A$22:A58)</f>
        <v>37</v>
      </c>
      <c r="C58" s="24" t="s">
        <v>526</v>
      </c>
      <c r="D58" s="31">
        <f t="shared" si="5"/>
        <v>2398202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3">
        <v>0</v>
      </c>
      <c r="L58" s="31">
        <v>0</v>
      </c>
      <c r="M58" s="31">
        <v>677.7</v>
      </c>
      <c r="N58" s="31">
        <v>2398202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4" t="s">
        <v>274</v>
      </c>
      <c r="AG58" s="34">
        <v>2020</v>
      </c>
      <c r="AH58" s="35" t="s">
        <v>274</v>
      </c>
      <c r="AT58" s="20" t="e">
        <f t="shared" si="7"/>
        <v>#N/A</v>
      </c>
      <c r="BZ58" s="71"/>
      <c r="CD58" s="20">
        <f t="shared" si="4"/>
        <v>702.2</v>
      </c>
      <c r="CE58" s="136" t="s">
        <v>1146</v>
      </c>
      <c r="CF58" s="136">
        <v>523.98</v>
      </c>
    </row>
    <row r="59" spans="1:84" ht="61.5" x14ac:dyDescent="0.85">
      <c r="A59" s="20">
        <v>1</v>
      </c>
      <c r="B59" s="66">
        <f>SUBTOTAL(103,$A$22:A59)</f>
        <v>38</v>
      </c>
      <c r="C59" s="24" t="s">
        <v>527</v>
      </c>
      <c r="D59" s="31">
        <f t="shared" si="5"/>
        <v>1104719.2799999998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3">
        <v>0</v>
      </c>
      <c r="L59" s="31">
        <v>0</v>
      </c>
      <c r="M59" s="31">
        <v>250.4</v>
      </c>
      <c r="N59" s="31">
        <v>1088099.8799999999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16619.400000000001</v>
      </c>
      <c r="AD59" s="31">
        <v>0</v>
      </c>
      <c r="AE59" s="31">
        <v>0</v>
      </c>
      <c r="AF59" s="34" t="s">
        <v>274</v>
      </c>
      <c r="AG59" s="34">
        <v>2020</v>
      </c>
      <c r="AH59" s="35">
        <v>2020</v>
      </c>
      <c r="AT59" s="20" t="e">
        <f t="shared" si="7"/>
        <v>#N/A</v>
      </c>
      <c r="BZ59" s="71"/>
      <c r="CD59" s="20" t="e">
        <f t="shared" si="4"/>
        <v>#N/A</v>
      </c>
      <c r="CE59" s="136" t="s">
        <v>1148</v>
      </c>
      <c r="CF59" s="136">
        <v>1093</v>
      </c>
    </row>
    <row r="60" spans="1:84" ht="61.5" x14ac:dyDescent="0.85">
      <c r="A60" s="20">
        <v>1</v>
      </c>
      <c r="B60" s="66">
        <f>SUBTOTAL(103,$A$22:A60)</f>
        <v>39</v>
      </c>
      <c r="C60" s="24" t="s">
        <v>528</v>
      </c>
      <c r="D60" s="31">
        <f t="shared" si="5"/>
        <v>3012798.38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3">
        <v>0</v>
      </c>
      <c r="L60" s="31">
        <v>0</v>
      </c>
      <c r="M60" s="31">
        <v>1603.24</v>
      </c>
      <c r="N60" s="31">
        <v>2968274.27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44524.11</v>
      </c>
      <c r="AD60" s="31">
        <v>0</v>
      </c>
      <c r="AE60" s="31">
        <v>0</v>
      </c>
      <c r="AF60" s="34" t="s">
        <v>274</v>
      </c>
      <c r="AG60" s="34">
        <v>2020</v>
      </c>
      <c r="AH60" s="35">
        <v>2020</v>
      </c>
      <c r="AT60" s="20" t="e">
        <f t="shared" si="7"/>
        <v>#N/A</v>
      </c>
      <c r="BZ60" s="71"/>
      <c r="CD60" s="20">
        <f t="shared" si="4"/>
        <v>1603.24</v>
      </c>
      <c r="CE60" s="136" t="s">
        <v>1589</v>
      </c>
      <c r="CF60" s="136">
        <v>1004.3</v>
      </c>
    </row>
    <row r="61" spans="1:84" ht="61.5" x14ac:dyDescent="0.85">
      <c r="A61" s="20">
        <v>1</v>
      </c>
      <c r="B61" s="66">
        <f>SUBTOTAL(103,$A$22:A61)</f>
        <v>40</v>
      </c>
      <c r="C61" s="24" t="s">
        <v>529</v>
      </c>
      <c r="D61" s="31">
        <f t="shared" si="5"/>
        <v>4726303.2699999996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3">
        <v>0</v>
      </c>
      <c r="L61" s="31">
        <v>0</v>
      </c>
      <c r="M61" s="31">
        <v>2070.63</v>
      </c>
      <c r="N61" s="31">
        <v>4656456.42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69846.850000000006</v>
      </c>
      <c r="AD61" s="31">
        <v>0</v>
      </c>
      <c r="AE61" s="31">
        <v>0</v>
      </c>
      <c r="AF61" s="34" t="s">
        <v>274</v>
      </c>
      <c r="AG61" s="34">
        <v>2020</v>
      </c>
      <c r="AH61" s="35">
        <v>2020</v>
      </c>
      <c r="AT61" s="20" t="e">
        <f t="shared" si="7"/>
        <v>#N/A</v>
      </c>
      <c r="BZ61" s="71"/>
      <c r="CD61" s="20">
        <f t="shared" si="4"/>
        <v>2070.63</v>
      </c>
      <c r="CE61" s="136" t="s">
        <v>1575</v>
      </c>
      <c r="CF61" s="136">
        <v>334.8</v>
      </c>
    </row>
    <row r="62" spans="1:84" ht="61.5" x14ac:dyDescent="0.85">
      <c r="A62" s="20">
        <v>1</v>
      </c>
      <c r="B62" s="66">
        <f>SUBTOTAL(103,$A$22:A62)</f>
        <v>41</v>
      </c>
      <c r="C62" s="24" t="s">
        <v>530</v>
      </c>
      <c r="D62" s="31">
        <f t="shared" si="5"/>
        <v>2888341.13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3">
        <v>0</v>
      </c>
      <c r="L62" s="31">
        <v>0</v>
      </c>
      <c r="M62" s="31">
        <v>761</v>
      </c>
      <c r="N62" s="31">
        <v>2845656.29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42684.84</v>
      </c>
      <c r="AD62" s="31">
        <v>0</v>
      </c>
      <c r="AE62" s="31">
        <v>0</v>
      </c>
      <c r="AF62" s="34" t="s">
        <v>274</v>
      </c>
      <c r="AG62" s="34">
        <v>2020</v>
      </c>
      <c r="AH62" s="35">
        <v>2020</v>
      </c>
      <c r="AT62" s="20" t="e">
        <f t="shared" si="7"/>
        <v>#N/A</v>
      </c>
      <c r="BZ62" s="71"/>
      <c r="CD62" s="20">
        <f t="shared" si="4"/>
        <v>777.1</v>
      </c>
      <c r="CE62" s="136" t="s">
        <v>1587</v>
      </c>
      <c r="CF62" s="136">
        <v>1585</v>
      </c>
    </row>
    <row r="63" spans="1:84" ht="61.5" x14ac:dyDescent="0.85">
      <c r="A63" s="20">
        <v>1</v>
      </c>
      <c r="B63" s="66">
        <f>SUBTOTAL(103,$A$22:A63)</f>
        <v>42</v>
      </c>
      <c r="C63" s="24" t="s">
        <v>531</v>
      </c>
      <c r="D63" s="31">
        <f t="shared" si="5"/>
        <v>4187098.32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3">
        <v>0</v>
      </c>
      <c r="L63" s="31">
        <v>0</v>
      </c>
      <c r="M63" s="31">
        <v>1000</v>
      </c>
      <c r="N63" s="31">
        <v>4125220.02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61878.3</v>
      </c>
      <c r="AD63" s="31">
        <v>0</v>
      </c>
      <c r="AE63" s="31">
        <v>0</v>
      </c>
      <c r="AF63" s="34" t="s">
        <v>274</v>
      </c>
      <c r="AG63" s="34">
        <v>2020</v>
      </c>
      <c r="AH63" s="35">
        <v>2020</v>
      </c>
      <c r="AT63" s="20" t="e">
        <f t="shared" si="7"/>
        <v>#N/A</v>
      </c>
      <c r="BZ63" s="71"/>
      <c r="CD63" s="20">
        <f t="shared" si="4"/>
        <v>1000</v>
      </c>
      <c r="CE63" s="136" t="s">
        <v>1576</v>
      </c>
      <c r="CF63" s="136">
        <v>543.6</v>
      </c>
    </row>
    <row r="64" spans="1:84" ht="61.5" x14ac:dyDescent="0.85">
      <c r="A64" s="20">
        <v>1</v>
      </c>
      <c r="B64" s="66">
        <f>SUBTOTAL(103,$A$22:A64)</f>
        <v>43</v>
      </c>
      <c r="C64" s="24" t="s">
        <v>532</v>
      </c>
      <c r="D64" s="31">
        <f t="shared" si="5"/>
        <v>2693319.61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3">
        <v>0</v>
      </c>
      <c r="L64" s="31">
        <v>0</v>
      </c>
      <c r="M64" s="31">
        <v>600</v>
      </c>
      <c r="N64" s="31">
        <v>2653516.86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39802.75</v>
      </c>
      <c r="AD64" s="31">
        <v>0</v>
      </c>
      <c r="AE64" s="31">
        <v>0</v>
      </c>
      <c r="AF64" s="34" t="s">
        <v>274</v>
      </c>
      <c r="AG64" s="34">
        <v>2020</v>
      </c>
      <c r="AH64" s="35">
        <v>2020</v>
      </c>
      <c r="AT64" s="20" t="e">
        <f t="shared" si="7"/>
        <v>#N/A</v>
      </c>
      <c r="BZ64" s="71"/>
      <c r="CD64" s="20">
        <f t="shared" si="4"/>
        <v>600</v>
      </c>
      <c r="CE64" s="136" t="s">
        <v>457</v>
      </c>
      <c r="CF64" s="136">
        <v>603.71</v>
      </c>
    </row>
    <row r="65" spans="1:84" ht="61.5" x14ac:dyDescent="0.85">
      <c r="A65" s="20">
        <v>1</v>
      </c>
      <c r="B65" s="66">
        <f>SUBTOTAL(103,$A$22:A65)</f>
        <v>44</v>
      </c>
      <c r="C65" s="24" t="s">
        <v>533</v>
      </c>
      <c r="D65" s="31">
        <f t="shared" si="5"/>
        <v>2298174.4700000002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3">
        <v>0</v>
      </c>
      <c r="L65" s="31">
        <v>0</v>
      </c>
      <c r="M65" s="31">
        <v>575.94000000000005</v>
      </c>
      <c r="N65" s="31">
        <v>2169742.58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32546.14</v>
      </c>
      <c r="AD65" s="31">
        <v>95885.75</v>
      </c>
      <c r="AE65" s="31">
        <v>0</v>
      </c>
      <c r="AF65" s="34">
        <v>2020</v>
      </c>
      <c r="AG65" s="34">
        <v>2020</v>
      </c>
      <c r="AH65" s="35">
        <v>2020</v>
      </c>
      <c r="AT65" s="20" t="e">
        <f t="shared" si="7"/>
        <v>#N/A</v>
      </c>
      <c r="BZ65" s="71"/>
      <c r="CD65" s="20" t="e">
        <f t="shared" si="4"/>
        <v>#N/A</v>
      </c>
      <c r="CE65" s="136" t="s">
        <v>458</v>
      </c>
      <c r="CF65" s="136">
        <v>588.4</v>
      </c>
    </row>
    <row r="66" spans="1:84" ht="61.5" x14ac:dyDescent="0.85">
      <c r="A66" s="20">
        <v>1</v>
      </c>
      <c r="B66" s="66">
        <f>SUBTOTAL(103,$A$22:A66)</f>
        <v>45</v>
      </c>
      <c r="C66" s="24" t="s">
        <v>534</v>
      </c>
      <c r="D66" s="31">
        <f t="shared" si="5"/>
        <v>3382151.3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3">
        <v>0</v>
      </c>
      <c r="L66" s="31">
        <v>0</v>
      </c>
      <c r="M66" s="31">
        <v>800</v>
      </c>
      <c r="N66" s="31">
        <v>3332168.77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49982.53</v>
      </c>
      <c r="AD66" s="31">
        <v>0</v>
      </c>
      <c r="AE66" s="31">
        <v>0</v>
      </c>
      <c r="AF66" s="34" t="s">
        <v>274</v>
      </c>
      <c r="AG66" s="34">
        <v>2020</v>
      </c>
      <c r="AH66" s="35">
        <v>2020</v>
      </c>
      <c r="AT66" s="20" t="e">
        <f t="shared" si="7"/>
        <v>#N/A</v>
      </c>
      <c r="BZ66" s="71"/>
      <c r="CD66" s="20">
        <f t="shared" si="4"/>
        <v>800</v>
      </c>
      <c r="CE66" s="136" t="s">
        <v>460</v>
      </c>
      <c r="CF66" s="136">
        <v>577</v>
      </c>
    </row>
    <row r="67" spans="1:84" ht="61.5" x14ac:dyDescent="0.85">
      <c r="A67" s="20">
        <v>1</v>
      </c>
      <c r="B67" s="66">
        <f>SUBTOTAL(103,$A$22:A67)</f>
        <v>46</v>
      </c>
      <c r="C67" s="24" t="s">
        <v>535</v>
      </c>
      <c r="D67" s="31">
        <f t="shared" si="5"/>
        <v>4414109.6800000006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3">
        <v>0</v>
      </c>
      <c r="L67" s="31">
        <v>0</v>
      </c>
      <c r="M67" s="31">
        <v>1065</v>
      </c>
      <c r="N67" s="31">
        <v>4261440.63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63921.61</v>
      </c>
      <c r="AD67" s="31">
        <v>88747.44</v>
      </c>
      <c r="AE67" s="31">
        <v>0</v>
      </c>
      <c r="AF67" s="34">
        <v>2020</v>
      </c>
      <c r="AG67" s="34">
        <v>2020</v>
      </c>
      <c r="AH67" s="35">
        <v>2020</v>
      </c>
      <c r="AT67" s="20" t="e">
        <f t="shared" si="7"/>
        <v>#N/A</v>
      </c>
      <c r="BZ67" s="71"/>
      <c r="CD67" s="20" t="e">
        <f t="shared" si="4"/>
        <v>#N/A</v>
      </c>
      <c r="CE67" s="136" t="s">
        <v>1177</v>
      </c>
      <c r="CF67" s="136">
        <v>633.34</v>
      </c>
    </row>
    <row r="68" spans="1:84" ht="61.5" x14ac:dyDescent="0.85">
      <c r="A68" s="20">
        <v>1</v>
      </c>
      <c r="B68" s="66">
        <f>SUBTOTAL(103,$A$22:A68)</f>
        <v>47</v>
      </c>
      <c r="C68" s="24" t="s">
        <v>536</v>
      </c>
      <c r="D68" s="31">
        <f t="shared" si="5"/>
        <v>2862107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3">
        <v>0</v>
      </c>
      <c r="L68" s="31">
        <v>0</v>
      </c>
      <c r="M68" s="31">
        <v>904</v>
      </c>
      <c r="N68" s="31">
        <v>2738310.79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41074.660000000003</v>
      </c>
      <c r="AD68" s="31">
        <v>82721.55</v>
      </c>
      <c r="AE68" s="31">
        <v>0</v>
      </c>
      <c r="AF68" s="34">
        <v>2020</v>
      </c>
      <c r="AG68" s="34">
        <v>2020</v>
      </c>
      <c r="AH68" s="35">
        <v>2020</v>
      </c>
      <c r="AT68" s="20" t="e">
        <f t="shared" si="7"/>
        <v>#N/A</v>
      </c>
      <c r="BZ68" s="71"/>
      <c r="CD68" s="20">
        <f t="shared" si="4"/>
        <v>904</v>
      </c>
      <c r="CE68" s="136" t="s">
        <v>1313</v>
      </c>
      <c r="CF68" s="136">
        <v>1674.7</v>
      </c>
    </row>
    <row r="69" spans="1:84" ht="61.5" x14ac:dyDescent="0.85">
      <c r="A69" s="20">
        <v>1</v>
      </c>
      <c r="B69" s="66">
        <f>SUBTOTAL(103,$A$22:A69)</f>
        <v>48</v>
      </c>
      <c r="C69" s="24" t="s">
        <v>537</v>
      </c>
      <c r="D69" s="31">
        <f t="shared" si="5"/>
        <v>3491771.3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3">
        <v>0</v>
      </c>
      <c r="L69" s="31">
        <v>0</v>
      </c>
      <c r="M69" s="31">
        <v>1180.0999999999999</v>
      </c>
      <c r="N69" s="31">
        <v>3440168.77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51602.53</v>
      </c>
      <c r="AD69" s="31">
        <v>0</v>
      </c>
      <c r="AE69" s="31">
        <v>0</v>
      </c>
      <c r="AF69" s="34" t="s">
        <v>274</v>
      </c>
      <c r="AG69" s="34">
        <v>2020</v>
      </c>
      <c r="AH69" s="35">
        <v>2020</v>
      </c>
      <c r="AT69" s="20" t="e">
        <f t="shared" si="7"/>
        <v>#N/A</v>
      </c>
      <c r="BZ69" s="71"/>
      <c r="CD69" s="20">
        <f t="shared" si="4"/>
        <v>1180.0999999999999</v>
      </c>
      <c r="CE69" s="136" t="s">
        <v>797</v>
      </c>
      <c r="CF69" s="136">
        <v>1375.9</v>
      </c>
    </row>
    <row r="70" spans="1:84" ht="61.5" x14ac:dyDescent="0.85">
      <c r="A70" s="20">
        <v>1</v>
      </c>
      <c r="B70" s="66">
        <f>SUBTOTAL(103,$A$22:A70)</f>
        <v>49</v>
      </c>
      <c r="C70" s="24" t="s">
        <v>538</v>
      </c>
      <c r="D70" s="31">
        <f t="shared" si="5"/>
        <v>2347677.0299999998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3">
        <v>0</v>
      </c>
      <c r="L70" s="31">
        <v>0</v>
      </c>
      <c r="M70" s="31">
        <v>565</v>
      </c>
      <c r="N70" s="31">
        <v>2244818.39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33672.28</v>
      </c>
      <c r="AD70" s="31">
        <v>69186.36</v>
      </c>
      <c r="AE70" s="31">
        <v>0</v>
      </c>
      <c r="AF70" s="34">
        <v>2020</v>
      </c>
      <c r="AG70" s="34">
        <v>2020</v>
      </c>
      <c r="AH70" s="35">
        <v>2020</v>
      </c>
      <c r="AT70" s="20" t="e">
        <f t="shared" si="7"/>
        <v>#N/A</v>
      </c>
      <c r="BZ70" s="71"/>
      <c r="CD70" s="20" t="e">
        <f t="shared" si="4"/>
        <v>#N/A</v>
      </c>
      <c r="CE70" s="136" t="s">
        <v>1194</v>
      </c>
      <c r="CF70" s="136">
        <v>1206.22</v>
      </c>
    </row>
    <row r="71" spans="1:84" ht="61.5" x14ac:dyDescent="0.85">
      <c r="A71" s="20">
        <v>1</v>
      </c>
      <c r="B71" s="66">
        <f>SUBTOTAL(103,$A$22:A71)</f>
        <v>50</v>
      </c>
      <c r="C71" s="24" t="s">
        <v>1399</v>
      </c>
      <c r="D71" s="31">
        <f t="shared" si="5"/>
        <v>706857.57000000007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3">
        <v>0</v>
      </c>
      <c r="L71" s="31">
        <v>0</v>
      </c>
      <c r="M71" s="31">
        <v>334.02</v>
      </c>
      <c r="N71" s="31">
        <v>696411.4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10446.17</v>
      </c>
      <c r="AD71" s="31">
        <v>0</v>
      </c>
      <c r="AE71" s="31">
        <v>0</v>
      </c>
      <c r="AF71" s="34" t="s">
        <v>274</v>
      </c>
      <c r="AG71" s="34">
        <v>2020</v>
      </c>
      <c r="AH71" s="35">
        <v>2020</v>
      </c>
      <c r="BZ71" s="71"/>
      <c r="CD71" s="20">
        <f t="shared" si="4"/>
        <v>334.02</v>
      </c>
      <c r="CE71" s="136" t="s">
        <v>1197</v>
      </c>
      <c r="CF71" s="136">
        <v>1137.3</v>
      </c>
    </row>
    <row r="72" spans="1:84" ht="61.5" x14ac:dyDescent="0.85">
      <c r="A72" s="20">
        <v>1</v>
      </c>
      <c r="B72" s="66">
        <f>SUBTOTAL(103,$A$22:A72)</f>
        <v>51</v>
      </c>
      <c r="C72" s="24" t="s">
        <v>1401</v>
      </c>
      <c r="D72" s="31">
        <f t="shared" si="5"/>
        <v>4183123.2600000002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3">
        <v>0</v>
      </c>
      <c r="L72" s="31">
        <v>0</v>
      </c>
      <c r="M72" s="31">
        <v>789</v>
      </c>
      <c r="N72" s="31">
        <v>4121303.7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61819.56</v>
      </c>
      <c r="AD72" s="31">
        <v>0</v>
      </c>
      <c r="AE72" s="31">
        <v>0</v>
      </c>
      <c r="AF72" s="34" t="s">
        <v>274</v>
      </c>
      <c r="AG72" s="34">
        <v>2020</v>
      </c>
      <c r="AH72" s="35">
        <v>2020</v>
      </c>
      <c r="BZ72" s="71"/>
      <c r="CD72" s="20">
        <f t="shared" si="4"/>
        <v>789</v>
      </c>
      <c r="CE72" s="136" t="s">
        <v>389</v>
      </c>
      <c r="CF72" s="136">
        <v>386.2</v>
      </c>
    </row>
    <row r="73" spans="1:84" ht="61.5" x14ac:dyDescent="0.85">
      <c r="A73" s="20">
        <v>1</v>
      </c>
      <c r="B73" s="66">
        <f>SUBTOTAL(103,$A$22:A73)</f>
        <v>52</v>
      </c>
      <c r="C73" s="24" t="s">
        <v>1402</v>
      </c>
      <c r="D73" s="31">
        <f t="shared" si="5"/>
        <v>2030000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3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591.9</v>
      </c>
      <c r="R73" s="31">
        <v>2000000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30000</v>
      </c>
      <c r="AD73" s="31">
        <v>0</v>
      </c>
      <c r="AE73" s="31">
        <v>0</v>
      </c>
      <c r="AF73" s="34" t="s">
        <v>274</v>
      </c>
      <c r="AG73" s="34">
        <v>2020</v>
      </c>
      <c r="AH73" s="35">
        <v>2020</v>
      </c>
      <c r="BZ73" s="71"/>
      <c r="CD73" s="20" t="e">
        <f t="shared" si="4"/>
        <v>#N/A</v>
      </c>
      <c r="CE73" s="136" t="s">
        <v>656</v>
      </c>
      <c r="CF73" s="136">
        <v>563.1</v>
      </c>
    </row>
    <row r="74" spans="1:84" ht="61.5" x14ac:dyDescent="0.85">
      <c r="A74" s="20">
        <v>1</v>
      </c>
      <c r="B74" s="66">
        <f>SUBTOTAL(103,$A$22:A74)</f>
        <v>53</v>
      </c>
      <c r="C74" s="24" t="s">
        <v>1121</v>
      </c>
      <c r="D74" s="31">
        <f t="shared" si="5"/>
        <v>4195168.8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3">
        <v>3</v>
      </c>
      <c r="L74" s="31">
        <v>4195168.8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4" t="s">
        <v>274</v>
      </c>
      <c r="AG74" s="34">
        <v>2020</v>
      </c>
      <c r="AH74" s="35" t="s">
        <v>274</v>
      </c>
      <c r="BZ74" s="71"/>
      <c r="CD74" s="20" t="e">
        <f t="shared" si="4"/>
        <v>#N/A</v>
      </c>
      <c r="CE74" s="136" t="s">
        <v>1205</v>
      </c>
      <c r="CF74" s="136">
        <v>540.5</v>
      </c>
    </row>
    <row r="75" spans="1:84" ht="61.5" x14ac:dyDescent="0.85">
      <c r="A75" s="20">
        <v>1</v>
      </c>
      <c r="B75" s="66">
        <f>SUBTOTAL(103,$A$22:A75)</f>
        <v>54</v>
      </c>
      <c r="C75" s="24" t="s">
        <v>1122</v>
      </c>
      <c r="D75" s="31">
        <f t="shared" si="5"/>
        <v>12534252.41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3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5788.43</v>
      </c>
      <c r="R75" s="31">
        <v>12349929.710000001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184322.7</v>
      </c>
      <c r="AD75" s="31">
        <v>0</v>
      </c>
      <c r="AE75" s="31">
        <v>0</v>
      </c>
      <c r="AF75" s="34" t="s">
        <v>274</v>
      </c>
      <c r="AG75" s="34">
        <v>2020</v>
      </c>
      <c r="AH75" s="35">
        <v>2020</v>
      </c>
      <c r="BZ75" s="71"/>
      <c r="CD75" s="20" t="e">
        <f t="shared" si="4"/>
        <v>#N/A</v>
      </c>
      <c r="CE75" s="136" t="s">
        <v>1206</v>
      </c>
      <c r="CF75" s="136">
        <v>603.5</v>
      </c>
    </row>
    <row r="76" spans="1:84" ht="61.5" x14ac:dyDescent="0.85">
      <c r="A76" s="20">
        <v>1</v>
      </c>
      <c r="B76" s="66">
        <f>SUBTOTAL(103,$A$22:A76)</f>
        <v>55</v>
      </c>
      <c r="C76" s="24" t="s">
        <v>1123</v>
      </c>
      <c r="D76" s="31">
        <f t="shared" si="5"/>
        <v>7710494.8799999999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3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3852.16</v>
      </c>
      <c r="R76" s="31">
        <v>7596546.6799999997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113948.2</v>
      </c>
      <c r="AD76" s="31">
        <v>0</v>
      </c>
      <c r="AE76" s="31">
        <v>0</v>
      </c>
      <c r="AF76" s="34" t="s">
        <v>274</v>
      </c>
      <c r="AG76" s="34">
        <v>2020</v>
      </c>
      <c r="AH76" s="35">
        <v>2020</v>
      </c>
      <c r="BZ76" s="71"/>
      <c r="CD76" s="20" t="e">
        <f t="shared" si="4"/>
        <v>#N/A</v>
      </c>
      <c r="CE76" s="136" t="s">
        <v>1207</v>
      </c>
      <c r="CF76" s="136">
        <v>1650</v>
      </c>
    </row>
    <row r="77" spans="1:84" ht="61.5" x14ac:dyDescent="0.85">
      <c r="A77" s="20">
        <v>1</v>
      </c>
      <c r="B77" s="66">
        <f>SUBTOTAL(103,$A$22:A77)</f>
        <v>56</v>
      </c>
      <c r="C77" s="24" t="s">
        <v>1124</v>
      </c>
      <c r="D77" s="31">
        <f t="shared" si="5"/>
        <v>2451551.34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3">
        <v>0</v>
      </c>
      <c r="L77" s="31">
        <v>0</v>
      </c>
      <c r="M77" s="31">
        <v>1118</v>
      </c>
      <c r="N77" s="31">
        <v>2415500</v>
      </c>
      <c r="O77" s="31">
        <v>0</v>
      </c>
      <c r="P77" s="31">
        <v>0</v>
      </c>
      <c r="Q77" s="31"/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36051.339999999997</v>
      </c>
      <c r="AD77" s="31">
        <v>0</v>
      </c>
      <c r="AE77" s="31">
        <v>0</v>
      </c>
      <c r="AF77" s="34" t="s">
        <v>274</v>
      </c>
      <c r="AG77" s="34">
        <v>2020</v>
      </c>
      <c r="AH77" s="35">
        <v>2020</v>
      </c>
      <c r="BZ77" s="71"/>
      <c r="CD77" s="20">
        <f t="shared" si="4"/>
        <v>1147.7</v>
      </c>
      <c r="CE77" s="136" t="s">
        <v>1209</v>
      </c>
      <c r="CF77" s="136">
        <v>1906.5</v>
      </c>
    </row>
    <row r="78" spans="1:84" ht="61.5" x14ac:dyDescent="0.85">
      <c r="A78" s="20">
        <v>1</v>
      </c>
      <c r="B78" s="66">
        <f>SUBTOTAL(103,$A$22:A78)</f>
        <v>57</v>
      </c>
      <c r="C78" s="24" t="s">
        <v>1125</v>
      </c>
      <c r="D78" s="31">
        <f t="shared" si="5"/>
        <v>1186477.9099999999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3">
        <v>0</v>
      </c>
      <c r="L78" s="31">
        <v>0</v>
      </c>
      <c r="M78" s="31">
        <v>218.8</v>
      </c>
      <c r="N78" s="31">
        <v>1168943.75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17534.16</v>
      </c>
      <c r="AD78" s="31">
        <v>0</v>
      </c>
      <c r="AE78" s="31">
        <v>0</v>
      </c>
      <c r="AF78" s="34" t="s">
        <v>274</v>
      </c>
      <c r="AG78" s="34">
        <v>2020</v>
      </c>
      <c r="AH78" s="35">
        <v>2020</v>
      </c>
      <c r="BZ78" s="71"/>
      <c r="CD78" s="20">
        <f t="shared" si="4"/>
        <v>218.8</v>
      </c>
      <c r="CE78" s="136" t="s">
        <v>1214</v>
      </c>
      <c r="CF78" s="136">
        <v>1264.96</v>
      </c>
    </row>
    <row r="79" spans="1:84" ht="61.5" x14ac:dyDescent="0.85">
      <c r="A79" s="20">
        <v>1</v>
      </c>
      <c r="B79" s="66">
        <f>SUBTOTAL(103,$A$22:A79)</f>
        <v>58</v>
      </c>
      <c r="C79" s="24" t="s">
        <v>1126</v>
      </c>
      <c r="D79" s="31">
        <f t="shared" si="5"/>
        <v>3306287.7600000002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3">
        <v>0</v>
      </c>
      <c r="L79" s="31">
        <v>0</v>
      </c>
      <c r="M79" s="31">
        <v>912.27</v>
      </c>
      <c r="N79" s="31">
        <v>3257667.08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48620.68</v>
      </c>
      <c r="AD79" s="31">
        <v>0</v>
      </c>
      <c r="AE79" s="31">
        <v>0</v>
      </c>
      <c r="AF79" s="34" t="s">
        <v>274</v>
      </c>
      <c r="AG79" s="34">
        <v>2020</v>
      </c>
      <c r="AH79" s="35">
        <v>2020</v>
      </c>
      <c r="BZ79" s="71"/>
      <c r="CD79" s="20">
        <f t="shared" si="4"/>
        <v>912.27</v>
      </c>
      <c r="CE79" s="136" t="s">
        <v>1216</v>
      </c>
      <c r="CF79" s="136">
        <v>781</v>
      </c>
    </row>
    <row r="80" spans="1:84" ht="61.5" x14ac:dyDescent="0.85">
      <c r="A80" s="20">
        <v>1</v>
      </c>
      <c r="B80" s="66">
        <f>SUBTOTAL(103,$A$22:A80)</f>
        <v>59</v>
      </c>
      <c r="C80" s="24" t="s">
        <v>1127</v>
      </c>
      <c r="D80" s="31">
        <f t="shared" si="5"/>
        <v>4301356.74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3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1131.4000000000001</v>
      </c>
      <c r="R80" s="31">
        <v>4238103.05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63253.69</v>
      </c>
      <c r="AD80" s="31">
        <v>0</v>
      </c>
      <c r="AE80" s="31">
        <v>0</v>
      </c>
      <c r="AF80" s="34" t="s">
        <v>274</v>
      </c>
      <c r="AG80" s="34">
        <v>2020</v>
      </c>
      <c r="AH80" s="35">
        <v>2020</v>
      </c>
      <c r="BZ80" s="71"/>
      <c r="CD80" s="20" t="e">
        <f t="shared" si="4"/>
        <v>#N/A</v>
      </c>
      <c r="CE80" s="136" t="s">
        <v>1217</v>
      </c>
      <c r="CF80" s="136">
        <v>2073.9</v>
      </c>
    </row>
    <row r="81" spans="1:84" ht="61.5" x14ac:dyDescent="0.85">
      <c r="A81" s="20">
        <v>1</v>
      </c>
      <c r="B81" s="66">
        <f>SUBTOTAL(103,$A$22:A81)</f>
        <v>60</v>
      </c>
      <c r="C81" s="24" t="s">
        <v>1128</v>
      </c>
      <c r="D81" s="31">
        <f t="shared" si="5"/>
        <v>4195078.42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3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4132272.85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f>61674.17+1131.4</f>
        <v>62805.57</v>
      </c>
      <c r="AD81" s="31">
        <v>0</v>
      </c>
      <c r="AE81" s="31">
        <v>0</v>
      </c>
      <c r="AF81" s="34" t="s">
        <v>274</v>
      </c>
      <c r="AG81" s="34">
        <v>2020</v>
      </c>
      <c r="AH81" s="35">
        <v>2020</v>
      </c>
      <c r="BZ81" s="71"/>
      <c r="CD81" s="20" t="e">
        <f t="shared" si="4"/>
        <v>#N/A</v>
      </c>
      <c r="CE81" s="136" t="s">
        <v>1219</v>
      </c>
      <c r="CF81" s="136">
        <v>1174.18</v>
      </c>
    </row>
    <row r="82" spans="1:84" ht="61.5" x14ac:dyDescent="0.85">
      <c r="A82" s="20">
        <v>1</v>
      </c>
      <c r="B82" s="66">
        <f>SUBTOTAL(103,$A$22:A82)</f>
        <v>61</v>
      </c>
      <c r="C82" s="24" t="s">
        <v>1129</v>
      </c>
      <c r="D82" s="31">
        <f t="shared" si="5"/>
        <v>3366145.45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3">
        <v>0</v>
      </c>
      <c r="L82" s="31">
        <v>0</v>
      </c>
      <c r="M82" s="31">
        <v>970</v>
      </c>
      <c r="N82" s="31">
        <v>3235949.25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50014.18</v>
      </c>
      <c r="AD82" s="31">
        <v>80182.02</v>
      </c>
      <c r="AE82" s="31">
        <v>0</v>
      </c>
      <c r="AF82" s="34">
        <v>2020</v>
      </c>
      <c r="AG82" s="34">
        <v>2020</v>
      </c>
      <c r="AH82" s="35">
        <v>2020</v>
      </c>
      <c r="BZ82" s="71"/>
      <c r="CD82" s="20" t="e">
        <f t="shared" si="4"/>
        <v>#N/A</v>
      </c>
      <c r="CE82" s="136" t="s">
        <v>1220</v>
      </c>
      <c r="CF82" s="136">
        <v>484</v>
      </c>
    </row>
    <row r="83" spans="1:84" ht="61.5" x14ac:dyDescent="0.85">
      <c r="A83" s="20">
        <v>1</v>
      </c>
      <c r="B83" s="66">
        <f>SUBTOTAL(103,$A$22:A83)</f>
        <v>62</v>
      </c>
      <c r="C83" s="24" t="s">
        <v>1130</v>
      </c>
      <c r="D83" s="31">
        <f t="shared" si="5"/>
        <v>4374326.75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3">
        <v>0</v>
      </c>
      <c r="L83" s="31">
        <v>0</v>
      </c>
      <c r="M83" s="31">
        <v>979.44</v>
      </c>
      <c r="N83" s="31">
        <v>4310000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64326.75</v>
      </c>
      <c r="AD83" s="31">
        <v>0</v>
      </c>
      <c r="AE83" s="31">
        <v>0</v>
      </c>
      <c r="AF83" s="34" t="s">
        <v>274</v>
      </c>
      <c r="AG83" s="34">
        <v>2020</v>
      </c>
      <c r="AH83" s="35">
        <v>2020</v>
      </c>
      <c r="BZ83" s="71"/>
      <c r="CD83" s="20">
        <f t="shared" si="4"/>
        <v>979.44</v>
      </c>
      <c r="CE83" s="136" t="s">
        <v>1221</v>
      </c>
      <c r="CF83" s="136">
        <v>1161</v>
      </c>
    </row>
    <row r="84" spans="1:84" ht="61.5" x14ac:dyDescent="0.85">
      <c r="A84" s="20">
        <v>1</v>
      </c>
      <c r="B84" s="66">
        <f>SUBTOTAL(103,$A$22:A84)</f>
        <v>63</v>
      </c>
      <c r="C84" s="24" t="s">
        <v>1131</v>
      </c>
      <c r="D84" s="31">
        <f t="shared" si="5"/>
        <v>2994194.1500000004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3">
        <v>0</v>
      </c>
      <c r="L84" s="31">
        <v>0</v>
      </c>
      <c r="M84" s="31">
        <v>717</v>
      </c>
      <c r="N84" s="31">
        <v>2950162.97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44031.18</v>
      </c>
      <c r="AD84" s="31">
        <v>0</v>
      </c>
      <c r="AE84" s="31">
        <v>0</v>
      </c>
      <c r="AF84" s="34" t="s">
        <v>274</v>
      </c>
      <c r="AG84" s="34">
        <v>2020</v>
      </c>
      <c r="AH84" s="35">
        <v>2020</v>
      </c>
      <c r="BZ84" s="71"/>
      <c r="CD84" s="20">
        <f t="shared" si="4"/>
        <v>730.17</v>
      </c>
      <c r="CE84" s="136" t="s">
        <v>1223</v>
      </c>
      <c r="CF84" s="136">
        <v>452.1</v>
      </c>
    </row>
    <row r="85" spans="1:84" ht="61.5" x14ac:dyDescent="0.85">
      <c r="A85" s="20">
        <v>1</v>
      </c>
      <c r="B85" s="66">
        <f>SUBTOTAL(103,$A$22:A85)</f>
        <v>64</v>
      </c>
      <c r="C85" s="24" t="s">
        <v>1133</v>
      </c>
      <c r="D85" s="31">
        <f t="shared" si="5"/>
        <v>5678840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3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1343.2</v>
      </c>
      <c r="R85" s="31">
        <v>5595329.7000000002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83510.3</v>
      </c>
      <c r="AD85" s="31">
        <v>0</v>
      </c>
      <c r="AE85" s="31">
        <v>0</v>
      </c>
      <c r="AF85" s="34" t="s">
        <v>274</v>
      </c>
      <c r="AG85" s="34">
        <v>2020</v>
      </c>
      <c r="AH85" s="35">
        <v>2020</v>
      </c>
      <c r="BZ85" s="71"/>
      <c r="CD85" s="20" t="e">
        <f t="shared" si="4"/>
        <v>#N/A</v>
      </c>
      <c r="CE85" s="136" t="s">
        <v>1224</v>
      </c>
      <c r="CF85" s="136">
        <v>992</v>
      </c>
    </row>
    <row r="86" spans="1:84" ht="61.5" x14ac:dyDescent="0.85">
      <c r="A86" s="20">
        <v>1</v>
      </c>
      <c r="B86" s="66">
        <f>SUBTOTAL(103,$A$22:A86)</f>
        <v>65</v>
      </c>
      <c r="C86" s="24" t="s">
        <v>1134</v>
      </c>
      <c r="D86" s="31">
        <f t="shared" si="5"/>
        <v>1916160.69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3">
        <v>0</v>
      </c>
      <c r="L86" s="31">
        <v>0</v>
      </c>
      <c r="M86" s="31">
        <v>874.18</v>
      </c>
      <c r="N86" s="31">
        <v>1887843.04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28317.65</v>
      </c>
      <c r="AD86" s="31">
        <v>0</v>
      </c>
      <c r="AE86" s="31">
        <v>0</v>
      </c>
      <c r="AF86" s="34" t="s">
        <v>274</v>
      </c>
      <c r="AG86" s="34">
        <v>2020</v>
      </c>
      <c r="AH86" s="35">
        <v>2020</v>
      </c>
      <c r="BZ86" s="71"/>
      <c r="CD86" s="20">
        <f t="shared" ref="CD86:CD149" si="8">VLOOKUP(C86,CE:CF,2,FALSE)</f>
        <v>874.18</v>
      </c>
      <c r="CE86" s="136" t="s">
        <v>661</v>
      </c>
      <c r="CF86" s="136">
        <v>796.1</v>
      </c>
    </row>
    <row r="87" spans="1:84" ht="61.5" x14ac:dyDescent="0.85">
      <c r="A87" s="20">
        <v>1</v>
      </c>
      <c r="B87" s="66">
        <f>SUBTOTAL(103,$A$22:A87)</f>
        <v>66</v>
      </c>
      <c r="C87" s="24" t="s">
        <v>1135</v>
      </c>
      <c r="D87" s="31">
        <f t="shared" ref="D87:D120" si="9">E87+F87+G87+H87+I87+J87+L87+N87+P87+R87+T87+U87+V87+W87+X87+Y87+Z87+AA87+AB87+AC87+AD87+AE87</f>
        <v>2373191.6399999997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3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558.45000000000005</v>
      </c>
      <c r="R87" s="31">
        <v>2338119.84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35071.800000000003</v>
      </c>
      <c r="AD87" s="31">
        <v>0</v>
      </c>
      <c r="AE87" s="31">
        <v>0</v>
      </c>
      <c r="AF87" s="34" t="s">
        <v>274</v>
      </c>
      <c r="AG87" s="34">
        <v>2020</v>
      </c>
      <c r="AH87" s="35">
        <v>2020</v>
      </c>
      <c r="BZ87" s="71"/>
      <c r="CD87" s="20" t="e">
        <f t="shared" si="8"/>
        <v>#N/A</v>
      </c>
      <c r="CE87" s="136" t="s">
        <v>1210</v>
      </c>
      <c r="CF87" s="136">
        <v>1995.2</v>
      </c>
    </row>
    <row r="88" spans="1:84" ht="61.5" x14ac:dyDescent="0.85">
      <c r="A88" s="20">
        <v>1</v>
      </c>
      <c r="B88" s="66">
        <f>SUBTOTAL(103,$A$22:A88)</f>
        <v>67</v>
      </c>
      <c r="C88" s="24" t="s">
        <v>1136</v>
      </c>
      <c r="D88" s="31">
        <f t="shared" si="9"/>
        <v>3730864.3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3">
        <v>0</v>
      </c>
      <c r="L88" s="31">
        <v>0</v>
      </c>
      <c r="M88" s="31">
        <v>1200</v>
      </c>
      <c r="N88" s="31">
        <v>3676000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54864.3</v>
      </c>
      <c r="AD88" s="31">
        <v>0</v>
      </c>
      <c r="AE88" s="31">
        <v>0</v>
      </c>
      <c r="AF88" s="34" t="s">
        <v>274</v>
      </c>
      <c r="AG88" s="34">
        <v>2020</v>
      </c>
      <c r="AH88" s="35">
        <v>2020</v>
      </c>
      <c r="BZ88" s="71"/>
      <c r="CD88" s="20">
        <f t="shared" si="8"/>
        <v>1200</v>
      </c>
      <c r="CE88" s="136" t="s">
        <v>1226</v>
      </c>
      <c r="CF88" s="136">
        <v>855</v>
      </c>
    </row>
    <row r="89" spans="1:84" ht="61.5" x14ac:dyDescent="0.85">
      <c r="A89" s="20">
        <v>1</v>
      </c>
      <c r="B89" s="66">
        <f>SUBTOTAL(103,$A$22:A89)</f>
        <v>68</v>
      </c>
      <c r="C89" s="24" t="s">
        <v>1137</v>
      </c>
      <c r="D89" s="31">
        <f t="shared" si="9"/>
        <v>2982453.63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3">
        <v>0</v>
      </c>
      <c r="L89" s="31">
        <v>0</v>
      </c>
      <c r="M89" s="31">
        <v>946</v>
      </c>
      <c r="N89" s="31">
        <v>2938595.1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43858.53</v>
      </c>
      <c r="AD89" s="31">
        <v>0</v>
      </c>
      <c r="AE89" s="31">
        <v>0</v>
      </c>
      <c r="AF89" s="34" t="s">
        <v>274</v>
      </c>
      <c r="AG89" s="34">
        <v>2020</v>
      </c>
      <c r="AH89" s="35">
        <v>2020</v>
      </c>
      <c r="BZ89" s="71"/>
      <c r="CD89" s="20">
        <f t="shared" si="8"/>
        <v>946</v>
      </c>
      <c r="CE89" s="136" t="s">
        <v>1212</v>
      </c>
      <c r="CF89" s="136">
        <v>1155.9000000000001</v>
      </c>
    </row>
    <row r="90" spans="1:84" ht="61.5" x14ac:dyDescent="0.85">
      <c r="A90" s="20">
        <v>1</v>
      </c>
      <c r="B90" s="66">
        <f>SUBTOTAL(103,$A$22:A90)</f>
        <v>69</v>
      </c>
      <c r="C90" s="24" t="s">
        <v>1138</v>
      </c>
      <c r="D90" s="31">
        <f t="shared" si="9"/>
        <v>1571848.57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3">
        <v>0</v>
      </c>
      <c r="L90" s="31">
        <v>0</v>
      </c>
      <c r="M90" s="31">
        <v>365.5</v>
      </c>
      <c r="N90" s="31">
        <v>1548733.72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23114.85</v>
      </c>
      <c r="AD90" s="31">
        <v>0</v>
      </c>
      <c r="AE90" s="31">
        <v>0</v>
      </c>
      <c r="AF90" s="34" t="s">
        <v>274</v>
      </c>
      <c r="AG90" s="34">
        <v>2020</v>
      </c>
      <c r="AH90" s="35">
        <v>2020</v>
      </c>
      <c r="BZ90" s="71"/>
      <c r="CD90" s="20">
        <f t="shared" si="8"/>
        <v>365.5</v>
      </c>
      <c r="CE90" s="136" t="s">
        <v>700</v>
      </c>
      <c r="CF90" s="136">
        <v>1022</v>
      </c>
    </row>
    <row r="91" spans="1:84" ht="61.5" x14ac:dyDescent="0.85">
      <c r="A91" s="20">
        <v>1</v>
      </c>
      <c r="B91" s="66">
        <f>SUBTOTAL(103,$A$22:A91)</f>
        <v>70</v>
      </c>
      <c r="C91" s="24" t="s">
        <v>1139</v>
      </c>
      <c r="D91" s="31">
        <f t="shared" si="9"/>
        <v>1564566.8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3">
        <v>0</v>
      </c>
      <c r="L91" s="31">
        <v>0</v>
      </c>
      <c r="M91" s="31">
        <v>365.5</v>
      </c>
      <c r="N91" s="31">
        <v>1541445.12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23121.68</v>
      </c>
      <c r="AD91" s="31">
        <v>0</v>
      </c>
      <c r="AE91" s="31">
        <v>0</v>
      </c>
      <c r="AF91" s="34" t="s">
        <v>274</v>
      </c>
      <c r="AG91" s="34">
        <v>2020</v>
      </c>
      <c r="AH91" s="35">
        <v>2020</v>
      </c>
      <c r="BZ91" s="71"/>
      <c r="CD91" s="20">
        <f t="shared" si="8"/>
        <v>365.5</v>
      </c>
      <c r="CE91" s="136" t="s">
        <v>1227</v>
      </c>
      <c r="CF91" s="136">
        <v>407.8</v>
      </c>
    </row>
    <row r="92" spans="1:84" ht="61.5" x14ac:dyDescent="0.85">
      <c r="A92" s="20">
        <v>1</v>
      </c>
      <c r="B92" s="66">
        <f>SUBTOTAL(103,$A$22:A92)</f>
        <v>71</v>
      </c>
      <c r="C92" s="24" t="s">
        <v>1140</v>
      </c>
      <c r="D92" s="31">
        <f t="shared" si="9"/>
        <v>2880785.14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3">
        <v>2</v>
      </c>
      <c r="L92" s="31">
        <v>2880785.14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4" t="s">
        <v>274</v>
      </c>
      <c r="AG92" s="34">
        <v>2020</v>
      </c>
      <c r="AH92" s="35" t="s">
        <v>274</v>
      </c>
      <c r="BZ92" s="71"/>
      <c r="CD92" s="20" t="e">
        <f t="shared" si="8"/>
        <v>#N/A</v>
      </c>
      <c r="CE92" s="136" t="s">
        <v>1228</v>
      </c>
      <c r="CF92" s="136">
        <v>953.5</v>
      </c>
    </row>
    <row r="93" spans="1:84" ht="61.5" x14ac:dyDescent="0.85">
      <c r="A93" s="20">
        <v>1</v>
      </c>
      <c r="B93" s="66">
        <f>SUBTOTAL(103,$A$22:A93)</f>
        <v>72</v>
      </c>
      <c r="C93" s="24" t="s">
        <v>1141</v>
      </c>
      <c r="D93" s="31">
        <f t="shared" si="9"/>
        <v>3859190.52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3">
        <v>2</v>
      </c>
      <c r="L93" s="31">
        <v>3859190.52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4" t="s">
        <v>274</v>
      </c>
      <c r="AG93" s="34">
        <v>2020</v>
      </c>
      <c r="AH93" s="35" t="s">
        <v>274</v>
      </c>
      <c r="BZ93" s="71"/>
      <c r="CD93" s="20" t="e">
        <f t="shared" si="8"/>
        <v>#N/A</v>
      </c>
      <c r="CE93" s="136" t="s">
        <v>1236</v>
      </c>
      <c r="CF93" s="136">
        <v>738.92</v>
      </c>
    </row>
    <row r="94" spans="1:84" ht="61.5" x14ac:dyDescent="0.85">
      <c r="A94" s="20">
        <v>1</v>
      </c>
      <c r="B94" s="66">
        <f>SUBTOTAL(103,$A$22:A94)</f>
        <v>73</v>
      </c>
      <c r="C94" s="24" t="s">
        <v>1144</v>
      </c>
      <c r="D94" s="31">
        <f t="shared" si="9"/>
        <v>424166.91999999993</v>
      </c>
      <c r="E94" s="31">
        <v>138685.66</v>
      </c>
      <c r="F94" s="31">
        <v>0</v>
      </c>
      <c r="G94" s="31">
        <v>0</v>
      </c>
      <c r="H94" s="31">
        <v>279243.65999999997</v>
      </c>
      <c r="I94" s="31">
        <v>0</v>
      </c>
      <c r="J94" s="31">
        <v>0</v>
      </c>
      <c r="K94" s="33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6237.6</v>
      </c>
      <c r="AD94" s="31">
        <v>0</v>
      </c>
      <c r="AE94" s="31">
        <v>0</v>
      </c>
      <c r="AF94" s="34" t="s">
        <v>274</v>
      </c>
      <c r="AG94" s="34">
        <v>2020</v>
      </c>
      <c r="AH94" s="35">
        <v>2020</v>
      </c>
      <c r="BZ94" s="71"/>
      <c r="CD94" s="20" t="e">
        <f t="shared" si="8"/>
        <v>#N/A</v>
      </c>
      <c r="CE94" s="136" t="s">
        <v>1584</v>
      </c>
      <c r="CF94" s="136">
        <v>275.39999999999998</v>
      </c>
    </row>
    <row r="95" spans="1:84" ht="61.5" x14ac:dyDescent="0.85">
      <c r="A95" s="20">
        <v>1</v>
      </c>
      <c r="B95" s="66">
        <f>SUBTOTAL(103,$A$22:A95)</f>
        <v>74</v>
      </c>
      <c r="C95" s="24" t="s">
        <v>1150</v>
      </c>
      <c r="D95" s="31">
        <f t="shared" si="9"/>
        <v>4254119.95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3">
        <v>0</v>
      </c>
      <c r="L95" s="31">
        <v>0</v>
      </c>
      <c r="M95" s="31">
        <v>1124.75</v>
      </c>
      <c r="N95" s="31">
        <v>4191251.18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62868.77</v>
      </c>
      <c r="AD95" s="31">
        <v>0</v>
      </c>
      <c r="AE95" s="31">
        <v>0</v>
      </c>
      <c r="AF95" s="34" t="s">
        <v>274</v>
      </c>
      <c r="AG95" s="34">
        <v>2020</v>
      </c>
      <c r="AH95" s="35">
        <v>2020</v>
      </c>
      <c r="BZ95" s="71"/>
      <c r="CD95" s="20">
        <f t="shared" si="8"/>
        <v>1124.75</v>
      </c>
      <c r="CE95" s="136" t="s">
        <v>1594</v>
      </c>
      <c r="CF95" s="136">
        <v>344.5</v>
      </c>
    </row>
    <row r="96" spans="1:84" ht="61.5" x14ac:dyDescent="0.85">
      <c r="A96" s="20">
        <v>1</v>
      </c>
      <c r="B96" s="66">
        <f>SUBTOTAL(103,$A$22:A96)</f>
        <v>75</v>
      </c>
      <c r="C96" s="24" t="s">
        <v>1151</v>
      </c>
      <c r="D96" s="31">
        <f t="shared" si="9"/>
        <v>3712372.02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3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820</v>
      </c>
      <c r="R96" s="31">
        <v>3657509.38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54862.64</v>
      </c>
      <c r="AD96" s="31">
        <v>0</v>
      </c>
      <c r="AE96" s="31">
        <v>0</v>
      </c>
      <c r="AF96" s="34" t="s">
        <v>274</v>
      </c>
      <c r="AG96" s="34">
        <v>2020</v>
      </c>
      <c r="AH96" s="35">
        <v>2020</v>
      </c>
      <c r="BZ96" s="71"/>
      <c r="CD96" s="20" t="e">
        <f t="shared" si="8"/>
        <v>#N/A</v>
      </c>
      <c r="CE96" s="136" t="s">
        <v>1244</v>
      </c>
      <c r="CF96" s="136">
        <v>374.3</v>
      </c>
    </row>
    <row r="97" spans="1:84" ht="61.5" x14ac:dyDescent="0.85">
      <c r="A97" s="20">
        <v>1</v>
      </c>
      <c r="B97" s="66">
        <f>SUBTOTAL(103,$A$22:A97)</f>
        <v>76</v>
      </c>
      <c r="C97" s="24" t="s">
        <v>1152</v>
      </c>
      <c r="D97" s="31">
        <f t="shared" si="9"/>
        <v>1900391.55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3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516</v>
      </c>
      <c r="R97" s="31">
        <v>1872306.95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28084.6</v>
      </c>
      <c r="AD97" s="31">
        <v>0</v>
      </c>
      <c r="AE97" s="31">
        <v>0</v>
      </c>
      <c r="AF97" s="34" t="s">
        <v>274</v>
      </c>
      <c r="AG97" s="34">
        <v>2020</v>
      </c>
      <c r="AH97" s="35">
        <v>2020</v>
      </c>
      <c r="BZ97" s="71"/>
      <c r="CD97" s="20" t="e">
        <f t="shared" si="8"/>
        <v>#N/A</v>
      </c>
      <c r="CE97" s="136" t="s">
        <v>1577</v>
      </c>
      <c r="CF97" s="136">
        <v>329.1</v>
      </c>
    </row>
    <row r="98" spans="1:84" ht="61.5" x14ac:dyDescent="0.85">
      <c r="A98" s="20">
        <v>1</v>
      </c>
      <c r="B98" s="66">
        <f>SUBTOTAL(103,$A$22:A98)</f>
        <v>77</v>
      </c>
      <c r="C98" s="24" t="s">
        <v>1153</v>
      </c>
      <c r="D98" s="31">
        <f t="shared" si="9"/>
        <v>2106147.9500000002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3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559</v>
      </c>
      <c r="R98" s="31">
        <v>2075022.61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31125.34</v>
      </c>
      <c r="AD98" s="31">
        <v>0</v>
      </c>
      <c r="AE98" s="31">
        <v>0</v>
      </c>
      <c r="AF98" s="34" t="s">
        <v>274</v>
      </c>
      <c r="AG98" s="34">
        <v>2020</v>
      </c>
      <c r="AH98" s="35">
        <v>2020</v>
      </c>
      <c r="BZ98" s="71"/>
      <c r="CD98" s="20" t="e">
        <f t="shared" si="8"/>
        <v>#N/A</v>
      </c>
      <c r="CE98" s="136" t="s">
        <v>1578</v>
      </c>
      <c r="CF98" s="136">
        <v>611</v>
      </c>
    </row>
    <row r="99" spans="1:84" ht="61.5" x14ac:dyDescent="0.85">
      <c r="A99" s="20">
        <v>1</v>
      </c>
      <c r="B99" s="66">
        <f>SUBTOTAL(103,$A$22:A99)</f>
        <v>78</v>
      </c>
      <c r="C99" s="24" t="s">
        <v>1154</v>
      </c>
      <c r="D99" s="31">
        <f t="shared" si="9"/>
        <v>3257277.38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3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1522.8</v>
      </c>
      <c r="R99" s="31">
        <v>3209377.42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47899.96</v>
      </c>
      <c r="AD99" s="31">
        <v>0</v>
      </c>
      <c r="AE99" s="31">
        <v>0</v>
      </c>
      <c r="AF99" s="34" t="s">
        <v>274</v>
      </c>
      <c r="AG99" s="34">
        <v>2020</v>
      </c>
      <c r="AH99" s="35">
        <v>2020</v>
      </c>
      <c r="BZ99" s="71"/>
      <c r="CD99" s="20" t="e">
        <f t="shared" si="8"/>
        <v>#N/A</v>
      </c>
      <c r="CE99" s="136" t="s">
        <v>1592</v>
      </c>
      <c r="CF99" s="136">
        <v>606</v>
      </c>
    </row>
    <row r="100" spans="1:84" ht="61.5" x14ac:dyDescent="0.85">
      <c r="A100" s="20">
        <v>1</v>
      </c>
      <c r="B100" s="66">
        <f>SUBTOTAL(103,$A$22:A100)</f>
        <v>79</v>
      </c>
      <c r="C100" s="24" t="s">
        <v>1155</v>
      </c>
      <c r="D100" s="31">
        <f t="shared" si="9"/>
        <v>2278510.5799999996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3">
        <v>0</v>
      </c>
      <c r="L100" s="31">
        <v>0</v>
      </c>
      <c r="M100" s="31">
        <v>556.6</v>
      </c>
      <c r="N100" s="31">
        <v>2244838.0099999998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33672.57</v>
      </c>
      <c r="AD100" s="31">
        <v>0</v>
      </c>
      <c r="AE100" s="31">
        <v>0</v>
      </c>
      <c r="AF100" s="34" t="s">
        <v>274</v>
      </c>
      <c r="AG100" s="34">
        <v>2020</v>
      </c>
      <c r="AH100" s="35">
        <v>2020</v>
      </c>
      <c r="BZ100" s="71"/>
      <c r="CD100" s="20">
        <f t="shared" si="8"/>
        <v>556.6</v>
      </c>
      <c r="CE100" s="136" t="s">
        <v>1579</v>
      </c>
      <c r="CF100" s="136">
        <v>249</v>
      </c>
    </row>
    <row r="101" spans="1:84" ht="61.5" x14ac:dyDescent="0.85">
      <c r="A101" s="20">
        <v>1</v>
      </c>
      <c r="B101" s="66">
        <f>SUBTOTAL(103,$A$22:A101)</f>
        <v>80</v>
      </c>
      <c r="C101" s="24" t="s">
        <v>1156</v>
      </c>
      <c r="D101" s="31">
        <f t="shared" si="9"/>
        <v>2391493.25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3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649.6</v>
      </c>
      <c r="R101" s="31">
        <v>2356150.9900000002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35342.26</v>
      </c>
      <c r="AD101" s="31">
        <v>0</v>
      </c>
      <c r="AE101" s="31">
        <v>0</v>
      </c>
      <c r="AF101" s="34" t="s">
        <v>274</v>
      </c>
      <c r="AG101" s="34">
        <v>2020</v>
      </c>
      <c r="AH101" s="35">
        <v>2020</v>
      </c>
      <c r="BZ101" s="71"/>
      <c r="CD101" s="20" t="e">
        <f t="shared" si="8"/>
        <v>#N/A</v>
      </c>
      <c r="CE101" s="136" t="s">
        <v>1580</v>
      </c>
      <c r="CF101" s="136">
        <v>309</v>
      </c>
    </row>
    <row r="102" spans="1:84" ht="61.5" x14ac:dyDescent="0.85">
      <c r="A102" s="20">
        <v>1</v>
      </c>
      <c r="B102" s="66">
        <f>SUBTOTAL(103,$A$22:A102)</f>
        <v>81</v>
      </c>
      <c r="C102" s="24" t="s">
        <v>1157</v>
      </c>
      <c r="D102" s="31">
        <f t="shared" si="9"/>
        <v>1057247.3700000001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3">
        <v>0</v>
      </c>
      <c r="L102" s="31">
        <v>0</v>
      </c>
      <c r="M102" s="31">
        <v>0</v>
      </c>
      <c r="N102" s="31">
        <v>0</v>
      </c>
      <c r="O102" s="31">
        <v>780</v>
      </c>
      <c r="P102" s="31">
        <v>1041700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15547.37</v>
      </c>
      <c r="AD102" s="31">
        <v>0</v>
      </c>
      <c r="AE102" s="31">
        <v>0</v>
      </c>
      <c r="AF102" s="34" t="s">
        <v>274</v>
      </c>
      <c r="AG102" s="34">
        <v>2020</v>
      </c>
      <c r="AH102" s="35">
        <v>2020</v>
      </c>
      <c r="BZ102" s="71"/>
      <c r="CD102" s="20" t="e">
        <f t="shared" si="8"/>
        <v>#N/A</v>
      </c>
      <c r="CE102" s="136" t="s">
        <v>5</v>
      </c>
      <c r="CF102" s="136">
        <v>722.14</v>
      </c>
    </row>
    <row r="103" spans="1:84" ht="61.5" x14ac:dyDescent="0.85">
      <c r="A103" s="20">
        <v>1</v>
      </c>
      <c r="B103" s="66">
        <f>SUBTOTAL(103,$A$22:A103)</f>
        <v>82</v>
      </c>
      <c r="C103" s="24" t="s">
        <v>1158</v>
      </c>
      <c r="D103" s="31">
        <f t="shared" si="9"/>
        <v>5231607.8099999996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3">
        <v>0</v>
      </c>
      <c r="L103" s="31">
        <v>0</v>
      </c>
      <c r="M103" s="31">
        <v>1200</v>
      </c>
      <c r="N103" s="31">
        <v>5085703.68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75904.13</v>
      </c>
      <c r="AD103" s="31">
        <v>70000</v>
      </c>
      <c r="AE103" s="31">
        <v>0</v>
      </c>
      <c r="AF103" s="34">
        <v>2020</v>
      </c>
      <c r="AG103" s="34">
        <v>2020</v>
      </c>
      <c r="AH103" s="35">
        <v>2020</v>
      </c>
      <c r="BZ103" s="71"/>
      <c r="CD103" s="20" t="e">
        <f t="shared" si="8"/>
        <v>#N/A</v>
      </c>
      <c r="CE103" s="136" t="s">
        <v>1599</v>
      </c>
      <c r="CF103" s="136">
        <v>762.8</v>
      </c>
    </row>
    <row r="104" spans="1:84" ht="61.5" x14ac:dyDescent="0.85">
      <c r="A104" s="20">
        <v>1</v>
      </c>
      <c r="B104" s="66">
        <f>SUBTOTAL(103,$A$22:A104)</f>
        <v>83</v>
      </c>
      <c r="C104" s="24" t="s">
        <v>1161</v>
      </c>
      <c r="D104" s="31">
        <f t="shared" si="9"/>
        <v>1938049.3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3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680.01</v>
      </c>
      <c r="R104" s="31">
        <v>1909408.18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28641.119999999999</v>
      </c>
      <c r="AD104" s="31">
        <v>0</v>
      </c>
      <c r="AE104" s="31">
        <v>0</v>
      </c>
      <c r="AF104" s="34" t="s">
        <v>274</v>
      </c>
      <c r="AG104" s="34">
        <v>2020</v>
      </c>
      <c r="AH104" s="35">
        <v>2020</v>
      </c>
      <c r="BZ104" s="71"/>
      <c r="CD104" s="20" t="e">
        <f t="shared" si="8"/>
        <v>#N/A</v>
      </c>
      <c r="CE104" s="136" t="s">
        <v>116</v>
      </c>
      <c r="CF104" s="136">
        <v>1256.9000000000001</v>
      </c>
    </row>
    <row r="105" spans="1:84" ht="61.5" x14ac:dyDescent="0.85">
      <c r="A105" s="20">
        <v>1</v>
      </c>
      <c r="B105" s="66">
        <f>SUBTOTAL(103,$A$22:A105)</f>
        <v>84</v>
      </c>
      <c r="C105" s="24" t="s">
        <v>1162</v>
      </c>
      <c r="D105" s="31">
        <f t="shared" si="9"/>
        <v>1674322.91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3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413.87</v>
      </c>
      <c r="R105" s="31">
        <v>1590465.92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23856.99</v>
      </c>
      <c r="AD105" s="31">
        <v>60000</v>
      </c>
      <c r="AE105" s="31">
        <v>0</v>
      </c>
      <c r="AF105" s="34">
        <v>2020</v>
      </c>
      <c r="AG105" s="34">
        <v>2020</v>
      </c>
      <c r="AH105" s="35">
        <v>2020</v>
      </c>
      <c r="BZ105" s="71"/>
      <c r="CD105" s="20" t="e">
        <f t="shared" si="8"/>
        <v>#N/A</v>
      </c>
      <c r="CE105" s="136" t="s">
        <v>1251</v>
      </c>
      <c r="CF105" s="136">
        <v>1150.3</v>
      </c>
    </row>
    <row r="106" spans="1:84" ht="61.5" x14ac:dyDescent="0.85">
      <c r="A106" s="20">
        <v>1</v>
      </c>
      <c r="B106" s="66">
        <f>SUBTOTAL(103,$A$22:A106)</f>
        <v>85</v>
      </c>
      <c r="C106" s="24" t="s">
        <v>1590</v>
      </c>
      <c r="D106" s="31">
        <f t="shared" si="9"/>
        <v>1677475.96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3">
        <v>0</v>
      </c>
      <c r="L106" s="31">
        <v>0</v>
      </c>
      <c r="M106" s="206">
        <v>466.12</v>
      </c>
      <c r="N106" s="31">
        <v>1677475.96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4" t="s">
        <v>274</v>
      </c>
      <c r="AG106" s="34">
        <v>2020</v>
      </c>
      <c r="AH106" s="35" t="s">
        <v>274</v>
      </c>
      <c r="BZ106" s="71"/>
      <c r="CD106" s="20">
        <f t="shared" si="8"/>
        <v>466.12</v>
      </c>
      <c r="CE106" s="136" t="s">
        <v>1252</v>
      </c>
      <c r="CF106" s="136">
        <v>763.8</v>
      </c>
    </row>
    <row r="107" spans="1:84" ht="61.5" x14ac:dyDescent="0.85">
      <c r="A107" s="20">
        <v>1</v>
      </c>
      <c r="B107" s="66">
        <f>SUBTOTAL(103,$A$22:A107)</f>
        <v>86</v>
      </c>
      <c r="C107" s="24" t="s">
        <v>1586</v>
      </c>
      <c r="D107" s="31">
        <f t="shared" si="9"/>
        <v>3647787.35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3">
        <v>0</v>
      </c>
      <c r="L107" s="31">
        <v>0</v>
      </c>
      <c r="M107" s="206">
        <v>859</v>
      </c>
      <c r="N107" s="31">
        <v>3593879.16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53908.19</v>
      </c>
      <c r="AD107" s="31">
        <v>0</v>
      </c>
      <c r="AE107" s="31">
        <v>0</v>
      </c>
      <c r="AF107" s="34" t="s">
        <v>274</v>
      </c>
      <c r="AG107" s="34">
        <v>2020</v>
      </c>
      <c r="AH107" s="35">
        <v>2020</v>
      </c>
      <c r="BZ107" s="71"/>
      <c r="CD107" s="20">
        <f t="shared" si="8"/>
        <v>859</v>
      </c>
      <c r="CE107" s="136" t="s">
        <v>1253</v>
      </c>
      <c r="CF107" s="136">
        <v>461.1</v>
      </c>
    </row>
    <row r="108" spans="1:84" ht="61.5" x14ac:dyDescent="0.85">
      <c r="A108" s="20">
        <v>1</v>
      </c>
      <c r="B108" s="66">
        <f>SUBTOTAL(103,$A$22:A108)</f>
        <v>87</v>
      </c>
      <c r="C108" s="24" t="s">
        <v>1589</v>
      </c>
      <c r="D108" s="31">
        <f t="shared" si="9"/>
        <v>5096776.0799999991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3">
        <v>0</v>
      </c>
      <c r="L108" s="31">
        <v>0</v>
      </c>
      <c r="M108" s="31">
        <v>1004.3</v>
      </c>
      <c r="N108" s="31">
        <v>5021454.2699999996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75321.81</v>
      </c>
      <c r="AD108" s="31">
        <v>0</v>
      </c>
      <c r="AE108" s="31">
        <v>0</v>
      </c>
      <c r="AF108" s="34" t="s">
        <v>274</v>
      </c>
      <c r="AG108" s="34">
        <v>2020</v>
      </c>
      <c r="AH108" s="35">
        <v>2020</v>
      </c>
      <c r="BZ108" s="71"/>
      <c r="CD108" s="20">
        <f t="shared" si="8"/>
        <v>1004.3</v>
      </c>
      <c r="CE108" s="136" t="s">
        <v>1255</v>
      </c>
      <c r="CF108" s="136">
        <v>1528.9</v>
      </c>
    </row>
    <row r="109" spans="1:84" ht="61.5" x14ac:dyDescent="0.85">
      <c r="A109" s="20">
        <v>1</v>
      </c>
      <c r="B109" s="66">
        <f>SUBTOTAL(103,$A$22:A109)</f>
        <v>88</v>
      </c>
      <c r="C109" s="24" t="s">
        <v>1585</v>
      </c>
      <c r="D109" s="31">
        <f t="shared" si="9"/>
        <v>3789473.9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3">
        <v>0</v>
      </c>
      <c r="L109" s="31">
        <v>0</v>
      </c>
      <c r="M109" s="206">
        <v>1028.5</v>
      </c>
      <c r="N109" s="31">
        <v>3733471.82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56002.080000000002</v>
      </c>
      <c r="AD109" s="31">
        <v>0</v>
      </c>
      <c r="AE109" s="31">
        <v>0</v>
      </c>
      <c r="AF109" s="34" t="s">
        <v>274</v>
      </c>
      <c r="AG109" s="34">
        <v>2020</v>
      </c>
      <c r="AH109" s="35">
        <v>2020</v>
      </c>
      <c r="BZ109" s="71"/>
      <c r="CD109" s="20">
        <f t="shared" si="8"/>
        <v>1028.5</v>
      </c>
      <c r="CE109" s="136" t="s">
        <v>121</v>
      </c>
      <c r="CF109" s="136">
        <v>541.1</v>
      </c>
    </row>
    <row r="110" spans="1:84" ht="61.5" x14ac:dyDescent="0.85">
      <c r="A110" s="20">
        <v>1</v>
      </c>
      <c r="B110" s="66">
        <f>SUBTOTAL(103,$A$22:A110)</f>
        <v>89</v>
      </c>
      <c r="C110" s="24" t="s">
        <v>1575</v>
      </c>
      <c r="D110" s="31">
        <f t="shared" si="9"/>
        <v>597387.81000000006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3">
        <v>0</v>
      </c>
      <c r="L110" s="31">
        <v>0</v>
      </c>
      <c r="M110" s="206">
        <v>334.8</v>
      </c>
      <c r="N110" s="31">
        <v>588602.91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8784.9</v>
      </c>
      <c r="AD110" s="31">
        <v>0</v>
      </c>
      <c r="AE110" s="31">
        <v>0</v>
      </c>
      <c r="AF110" s="34" t="s">
        <v>274</v>
      </c>
      <c r="AG110" s="34">
        <v>2020</v>
      </c>
      <c r="AH110" s="35">
        <v>2020</v>
      </c>
      <c r="BZ110" s="71"/>
      <c r="CD110" s="20">
        <f t="shared" si="8"/>
        <v>334.8</v>
      </c>
      <c r="CE110" s="136" t="s">
        <v>174</v>
      </c>
      <c r="CF110" s="136">
        <v>678.3</v>
      </c>
    </row>
    <row r="111" spans="1:84" ht="61.5" x14ac:dyDescent="0.85">
      <c r="A111" s="20">
        <v>1</v>
      </c>
      <c r="B111" s="66">
        <f>SUBTOTAL(103,$A$22:A111)</f>
        <v>90</v>
      </c>
      <c r="C111" s="24" t="s">
        <v>1587</v>
      </c>
      <c r="D111" s="31">
        <f t="shared" si="9"/>
        <v>5103753.3499999996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3">
        <v>0</v>
      </c>
      <c r="L111" s="31">
        <v>0</v>
      </c>
      <c r="M111" s="206">
        <v>1585</v>
      </c>
      <c r="N111" s="31">
        <v>5028700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75053.350000000006</v>
      </c>
      <c r="AD111" s="31">
        <v>0</v>
      </c>
      <c r="AE111" s="31">
        <v>0</v>
      </c>
      <c r="AF111" s="34" t="s">
        <v>274</v>
      </c>
      <c r="AG111" s="34">
        <v>2020</v>
      </c>
      <c r="AH111" s="35">
        <v>2020</v>
      </c>
      <c r="BZ111" s="71"/>
      <c r="CD111" s="20">
        <f t="shared" si="8"/>
        <v>1585</v>
      </c>
      <c r="CE111" s="136" t="s">
        <v>1261</v>
      </c>
      <c r="CF111" s="136">
        <v>975.2</v>
      </c>
    </row>
    <row r="112" spans="1:84" ht="61.5" x14ac:dyDescent="0.85">
      <c r="A112" s="20">
        <v>1</v>
      </c>
      <c r="B112" s="66">
        <f>SUBTOTAL(103,$A$22:A112)</f>
        <v>91</v>
      </c>
      <c r="C112" s="24" t="s">
        <v>1588</v>
      </c>
      <c r="D112" s="31">
        <f t="shared" si="9"/>
        <v>6433859.5500000007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3">
        <v>0</v>
      </c>
      <c r="L112" s="31">
        <v>0</v>
      </c>
      <c r="M112" s="31">
        <v>1928</v>
      </c>
      <c r="N112" s="31">
        <v>6233451.8300000001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109313.23</v>
      </c>
      <c r="AD112" s="31">
        <v>91094.49</v>
      </c>
      <c r="AE112" s="31">
        <v>0</v>
      </c>
      <c r="AF112" s="34">
        <v>2020</v>
      </c>
      <c r="AG112" s="34">
        <v>2020</v>
      </c>
      <c r="AH112" s="35">
        <v>2020</v>
      </c>
      <c r="BZ112" s="71"/>
      <c r="CD112" s="20" t="e">
        <f t="shared" si="8"/>
        <v>#N/A</v>
      </c>
      <c r="CE112" s="136" t="s">
        <v>1262</v>
      </c>
      <c r="CF112" s="136">
        <v>600</v>
      </c>
    </row>
    <row r="113" spans="1:84" ht="61.5" x14ac:dyDescent="0.85">
      <c r="A113" s="20">
        <v>1</v>
      </c>
      <c r="B113" s="66">
        <f>SUBTOTAL(103,$A$22:A113)</f>
        <v>92</v>
      </c>
      <c r="C113" s="24" t="s">
        <v>1576</v>
      </c>
      <c r="D113" s="31">
        <f t="shared" si="9"/>
        <v>2093149.6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3">
        <v>0</v>
      </c>
      <c r="L113" s="31">
        <v>0</v>
      </c>
      <c r="M113" s="206">
        <v>508</v>
      </c>
      <c r="N113" s="31">
        <v>2093149.6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4" t="s">
        <v>274</v>
      </c>
      <c r="AG113" s="34">
        <v>2020</v>
      </c>
      <c r="AH113" s="35" t="s">
        <v>274</v>
      </c>
      <c r="BZ113" s="71"/>
      <c r="CD113" s="20">
        <f t="shared" si="8"/>
        <v>543.6</v>
      </c>
      <c r="CE113" s="136" t="s">
        <v>108</v>
      </c>
      <c r="CF113" s="136">
        <v>596.4</v>
      </c>
    </row>
    <row r="114" spans="1:84" ht="61.5" x14ac:dyDescent="0.85">
      <c r="A114" s="20">
        <v>1</v>
      </c>
      <c r="B114" s="66">
        <f>SUBTOTAL(103,$A$22:A114)</f>
        <v>93</v>
      </c>
      <c r="C114" s="24" t="s">
        <v>1630</v>
      </c>
      <c r="D114" s="31">
        <f t="shared" si="9"/>
        <v>2139777.0500000003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3">
        <v>0</v>
      </c>
      <c r="L114" s="31">
        <v>0</v>
      </c>
      <c r="M114" s="31">
        <v>356</v>
      </c>
      <c r="N114" s="31">
        <v>2033939.08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30509.09</v>
      </c>
      <c r="AD114" s="31">
        <v>75328.88</v>
      </c>
      <c r="AE114" s="31">
        <v>0</v>
      </c>
      <c r="AF114" s="34">
        <v>2020</v>
      </c>
      <c r="AG114" s="34">
        <v>2020</v>
      </c>
      <c r="AH114" s="35">
        <v>2020</v>
      </c>
      <c r="BZ114" s="71"/>
      <c r="CD114" s="20" t="e">
        <f t="shared" si="8"/>
        <v>#N/A</v>
      </c>
      <c r="CE114" s="136" t="s">
        <v>110</v>
      </c>
      <c r="CF114" s="136">
        <v>936.1</v>
      </c>
    </row>
    <row r="115" spans="1:84" ht="61.5" x14ac:dyDescent="0.85">
      <c r="A115" s="20">
        <v>1</v>
      </c>
      <c r="B115" s="66">
        <f>SUBTOTAL(103,$A$22:A115)</f>
        <v>94</v>
      </c>
      <c r="C115" s="24" t="s">
        <v>1632</v>
      </c>
      <c r="D115" s="31">
        <f t="shared" si="9"/>
        <v>4640895.0699999994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3">
        <v>0</v>
      </c>
      <c r="L115" s="31">
        <v>0</v>
      </c>
      <c r="M115" s="31">
        <v>1119</v>
      </c>
      <c r="N115" s="31">
        <v>4475542.5999999996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67133.14</v>
      </c>
      <c r="AD115" s="31">
        <v>98219.33</v>
      </c>
      <c r="AE115" s="31">
        <v>0</v>
      </c>
      <c r="AF115" s="34">
        <v>2020</v>
      </c>
      <c r="AG115" s="34">
        <v>2020</v>
      </c>
      <c r="AH115" s="35">
        <v>2020</v>
      </c>
      <c r="BZ115" s="71"/>
      <c r="CD115" s="20" t="e">
        <f t="shared" si="8"/>
        <v>#N/A</v>
      </c>
      <c r="CE115" s="136" t="s">
        <v>1265</v>
      </c>
      <c r="CF115" s="136">
        <v>901.42</v>
      </c>
    </row>
    <row r="116" spans="1:84" ht="61.5" x14ac:dyDescent="0.85">
      <c r="A116" s="20">
        <v>1</v>
      </c>
      <c r="B116" s="66">
        <f>SUBTOTAL(103,$A$22:A116)</f>
        <v>95</v>
      </c>
      <c r="C116" s="24" t="s">
        <v>1633</v>
      </c>
      <c r="D116" s="31">
        <f t="shared" si="9"/>
        <v>2739411.65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3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1314</v>
      </c>
      <c r="R116" s="31">
        <v>2698927.73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40483.919999999998</v>
      </c>
      <c r="AD116" s="31">
        <v>0</v>
      </c>
      <c r="AE116" s="31">
        <v>0</v>
      </c>
      <c r="AF116" s="34" t="s">
        <v>274</v>
      </c>
      <c r="AG116" s="34">
        <v>2020</v>
      </c>
      <c r="AH116" s="35">
        <v>2020</v>
      </c>
      <c r="BZ116" s="71"/>
      <c r="CD116" s="20" t="e">
        <f t="shared" si="8"/>
        <v>#N/A</v>
      </c>
      <c r="CE116" s="136" t="s">
        <v>44</v>
      </c>
      <c r="CF116" s="136">
        <v>631</v>
      </c>
    </row>
    <row r="117" spans="1:84" ht="61.5" x14ac:dyDescent="0.85">
      <c r="A117" s="20">
        <v>1</v>
      </c>
      <c r="B117" s="66">
        <f>SUBTOTAL(103,$A$22:A117)</f>
        <v>96</v>
      </c>
      <c r="C117" s="24" t="s">
        <v>1634</v>
      </c>
      <c r="D117" s="31">
        <f t="shared" si="9"/>
        <v>3080924.7199999997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3">
        <v>0</v>
      </c>
      <c r="L117" s="31">
        <v>0</v>
      </c>
      <c r="M117" s="31">
        <v>707</v>
      </c>
      <c r="N117" s="31">
        <v>2956650.15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44349.75</v>
      </c>
      <c r="AD117" s="31">
        <v>79924.820000000007</v>
      </c>
      <c r="AE117" s="31">
        <v>0</v>
      </c>
      <c r="AF117" s="34">
        <v>2020</v>
      </c>
      <c r="AG117" s="34">
        <v>2020</v>
      </c>
      <c r="AH117" s="35">
        <v>2020</v>
      </c>
      <c r="BZ117" s="71"/>
      <c r="CD117" s="20" t="e">
        <f t="shared" si="8"/>
        <v>#N/A</v>
      </c>
      <c r="CE117" s="136" t="s">
        <v>43</v>
      </c>
      <c r="CF117" s="136">
        <v>566</v>
      </c>
    </row>
    <row r="118" spans="1:84" ht="61.5" x14ac:dyDescent="0.85">
      <c r="A118" s="20">
        <v>1</v>
      </c>
      <c r="B118" s="66">
        <f>SUBTOTAL(103,$A$22:A118)</f>
        <v>97</v>
      </c>
      <c r="C118" s="24" t="s">
        <v>1635</v>
      </c>
      <c r="D118" s="31">
        <f t="shared" si="9"/>
        <v>3180464.5600000005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3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641</v>
      </c>
      <c r="R118" s="31">
        <v>3054645.18</v>
      </c>
      <c r="S118" s="31"/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45819.68</v>
      </c>
      <c r="AD118" s="31">
        <v>79999.7</v>
      </c>
      <c r="AE118" s="31">
        <v>0</v>
      </c>
      <c r="AF118" s="34">
        <v>2020</v>
      </c>
      <c r="AG118" s="34">
        <v>2020</v>
      </c>
      <c r="AH118" s="35">
        <v>2020</v>
      </c>
      <c r="BZ118" s="71"/>
      <c r="CD118" s="20" t="e">
        <f t="shared" si="8"/>
        <v>#N/A</v>
      </c>
      <c r="CE118" s="136" t="s">
        <v>45</v>
      </c>
      <c r="CF118" s="136">
        <v>562</v>
      </c>
    </row>
    <row r="119" spans="1:84" ht="61.5" x14ac:dyDescent="0.85">
      <c r="A119" s="20">
        <v>1</v>
      </c>
      <c r="B119" s="66">
        <f>SUBTOTAL(103,$A$22:A119)</f>
        <v>98</v>
      </c>
      <c r="C119" s="24" t="s">
        <v>1657</v>
      </c>
      <c r="D119" s="31">
        <f t="shared" si="9"/>
        <v>1538390.57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3">
        <v>0</v>
      </c>
      <c r="L119" s="31">
        <v>0</v>
      </c>
      <c r="M119" s="112">
        <v>378</v>
      </c>
      <c r="N119" s="31">
        <v>1515655.73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22734.84</v>
      </c>
      <c r="AD119" s="31">
        <v>0</v>
      </c>
      <c r="AE119" s="31">
        <v>0</v>
      </c>
      <c r="AF119" s="34" t="s">
        <v>274</v>
      </c>
      <c r="AG119" s="34">
        <v>2020</v>
      </c>
      <c r="AH119" s="35">
        <v>2020</v>
      </c>
      <c r="BZ119" s="71"/>
      <c r="CD119" s="20" t="e">
        <f t="shared" si="8"/>
        <v>#N/A</v>
      </c>
      <c r="CE119" s="136" t="s">
        <v>1278</v>
      </c>
      <c r="CF119" s="136">
        <v>454</v>
      </c>
    </row>
    <row r="120" spans="1:84" ht="61.5" x14ac:dyDescent="0.85">
      <c r="A120" s="20">
        <v>1</v>
      </c>
      <c r="B120" s="66">
        <f>SUBTOTAL(103,$A$22:A120)</f>
        <v>99</v>
      </c>
      <c r="C120" s="24" t="s">
        <v>1658</v>
      </c>
      <c r="D120" s="31">
        <f t="shared" si="9"/>
        <v>2840286.39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3">
        <v>1</v>
      </c>
      <c r="L120" s="31">
        <v>2692067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148219.39000000001</v>
      </c>
      <c r="AE120" s="31">
        <v>0</v>
      </c>
      <c r="AF120" s="34">
        <v>2020</v>
      </c>
      <c r="AG120" s="34">
        <v>2020</v>
      </c>
      <c r="AH120" s="35" t="s">
        <v>274</v>
      </c>
      <c r="BZ120" s="71"/>
      <c r="CD120" s="20" t="e">
        <f t="shared" si="8"/>
        <v>#N/A</v>
      </c>
      <c r="CE120" s="136" t="s">
        <v>42</v>
      </c>
      <c r="CF120" s="136">
        <v>595</v>
      </c>
    </row>
    <row r="121" spans="1:84" ht="61.5" x14ac:dyDescent="0.85">
      <c r="A121" s="20">
        <v>1</v>
      </c>
      <c r="B121" s="66">
        <f>SUBTOTAL(103,$A$22:A121)</f>
        <v>100</v>
      </c>
      <c r="C121" s="24" t="s">
        <v>1659</v>
      </c>
      <c r="D121" s="31">
        <f t="shared" ref="D121" si="10">E121+F121+G121+H121+I121+J121+L121+N121+P121+R121+T121+U121+V121+W121+X121+Y121+Z121+AA121+AB121+AC121+AD121+AE121</f>
        <v>2380804.91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3">
        <v>0</v>
      </c>
      <c r="L121" s="31">
        <v>0</v>
      </c>
      <c r="M121" s="31">
        <v>573</v>
      </c>
      <c r="N121" s="31">
        <v>2345620.6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35184.31</v>
      </c>
      <c r="AD121" s="31">
        <v>0</v>
      </c>
      <c r="AE121" s="31">
        <v>0</v>
      </c>
      <c r="AF121" s="34" t="s">
        <v>274</v>
      </c>
      <c r="AG121" s="34">
        <v>2020</v>
      </c>
      <c r="AH121" s="35">
        <v>2020</v>
      </c>
      <c r="BZ121" s="71"/>
      <c r="CD121" s="20" t="e">
        <f t="shared" si="8"/>
        <v>#N/A</v>
      </c>
      <c r="CE121" s="136" t="s">
        <v>1598</v>
      </c>
      <c r="CF121" s="136">
        <v>747.3</v>
      </c>
    </row>
    <row r="122" spans="1:84" ht="61.5" x14ac:dyDescent="0.85">
      <c r="A122" s="20">
        <v>1</v>
      </c>
      <c r="B122" s="66">
        <f>SUBTOTAL(103,$A$22:A122)</f>
        <v>101</v>
      </c>
      <c r="C122" s="24" t="s">
        <v>1149</v>
      </c>
      <c r="D122" s="31">
        <f>E122+F122+G122+H122+I122+J122+L122+N122+P122+R122+T122+U122+V122+W122+X122+Y122+Z122+AA122+AB122+AC122+AD122+AE122</f>
        <v>3669425.82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3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1778.5</v>
      </c>
      <c r="R122" s="31">
        <v>3615465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53960.82</v>
      </c>
      <c r="AD122" s="31">
        <v>0</v>
      </c>
      <c r="AE122" s="31">
        <v>0</v>
      </c>
      <c r="AF122" s="34" t="s">
        <v>274</v>
      </c>
      <c r="AG122" s="34">
        <v>2020</v>
      </c>
      <c r="AH122" s="35">
        <v>2020</v>
      </c>
      <c r="BZ122" s="71"/>
      <c r="CD122" s="20" t="e">
        <f t="shared" si="8"/>
        <v>#N/A</v>
      </c>
    </row>
    <row r="123" spans="1:84" ht="61.5" x14ac:dyDescent="0.85">
      <c r="B123" s="24" t="s">
        <v>781</v>
      </c>
      <c r="C123" s="129"/>
      <c r="D123" s="31">
        <f t="shared" ref="D123:AE123" si="11">SUM(D124:D155)</f>
        <v>89338725.269999981</v>
      </c>
      <c r="E123" s="31">
        <f t="shared" si="11"/>
        <v>486686.75</v>
      </c>
      <c r="F123" s="31">
        <f t="shared" si="11"/>
        <v>347232.06</v>
      </c>
      <c r="G123" s="31">
        <f t="shared" si="11"/>
        <v>8460617.75</v>
      </c>
      <c r="H123" s="31">
        <f t="shared" si="11"/>
        <v>1113347.96</v>
      </c>
      <c r="I123" s="31">
        <f t="shared" si="11"/>
        <v>7564826.6400000006</v>
      </c>
      <c r="J123" s="31">
        <f t="shared" si="11"/>
        <v>0</v>
      </c>
      <c r="K123" s="33">
        <f t="shared" si="11"/>
        <v>4</v>
      </c>
      <c r="L123" s="31">
        <f t="shared" si="11"/>
        <v>5593558.4000000004</v>
      </c>
      <c r="M123" s="31">
        <f t="shared" si="11"/>
        <v>9377.85</v>
      </c>
      <c r="N123" s="31">
        <f t="shared" si="11"/>
        <v>44573595.600000001</v>
      </c>
      <c r="O123" s="31">
        <f t="shared" si="11"/>
        <v>0</v>
      </c>
      <c r="P123" s="31">
        <f t="shared" si="11"/>
        <v>0</v>
      </c>
      <c r="Q123" s="31">
        <f t="shared" si="11"/>
        <v>5665.84</v>
      </c>
      <c r="R123" s="31">
        <f t="shared" si="11"/>
        <v>18388141.52</v>
      </c>
      <c r="S123" s="31">
        <f t="shared" si="11"/>
        <v>0</v>
      </c>
      <c r="T123" s="31">
        <f t="shared" si="11"/>
        <v>0</v>
      </c>
      <c r="U123" s="31">
        <f t="shared" si="11"/>
        <v>0</v>
      </c>
      <c r="V123" s="31">
        <f t="shared" si="11"/>
        <v>0</v>
      </c>
      <c r="W123" s="31">
        <f t="shared" si="11"/>
        <v>0</v>
      </c>
      <c r="X123" s="31">
        <f t="shared" si="11"/>
        <v>0</v>
      </c>
      <c r="Y123" s="31">
        <f t="shared" si="11"/>
        <v>0</v>
      </c>
      <c r="Z123" s="31">
        <f t="shared" si="11"/>
        <v>0</v>
      </c>
      <c r="AA123" s="31">
        <f t="shared" si="11"/>
        <v>0</v>
      </c>
      <c r="AB123" s="31">
        <f t="shared" si="11"/>
        <v>0</v>
      </c>
      <c r="AC123" s="31">
        <f t="shared" si="11"/>
        <v>1214016.73</v>
      </c>
      <c r="AD123" s="31">
        <f t="shared" si="11"/>
        <v>1476701.86</v>
      </c>
      <c r="AE123" s="31">
        <f t="shared" si="11"/>
        <v>120000</v>
      </c>
      <c r="AF123" s="72" t="s">
        <v>776</v>
      </c>
      <c r="AG123" s="72" t="s">
        <v>776</v>
      </c>
      <c r="AH123" s="88" t="s">
        <v>776</v>
      </c>
      <c r="AT123" s="20" t="e">
        <f t="shared" ref="AT123:AT136" si="12">VLOOKUP(C123,AW:AX,2,FALSE)</f>
        <v>#N/A</v>
      </c>
      <c r="BZ123" s="31">
        <v>95682574.419999987</v>
      </c>
      <c r="CA123" s="31"/>
      <c r="CB123" s="31">
        <f>BZ123-D123</f>
        <v>6343849.150000006</v>
      </c>
      <c r="CD123" s="20" t="e">
        <f t="shared" si="8"/>
        <v>#N/A</v>
      </c>
      <c r="CE123" s="136" t="s">
        <v>1273</v>
      </c>
      <c r="CF123" s="136">
        <v>1278.8</v>
      </c>
    </row>
    <row r="124" spans="1:84" ht="61.5" x14ac:dyDescent="0.85">
      <c r="A124" s="20">
        <v>1</v>
      </c>
      <c r="B124" s="66">
        <f>SUBTOTAL(103,$A$22:A124)</f>
        <v>102</v>
      </c>
      <c r="C124" s="24" t="s">
        <v>453</v>
      </c>
      <c r="D124" s="31">
        <f t="shared" ref="D124:D155" si="13">E124+F124+G124+H124+I124+J124+L124+N124+P124+R124+T124+U124+V124+W124+X124+Y124+Z124+AA124+AB124+AC124+AD124+AE124</f>
        <v>3009959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74">
        <v>0</v>
      </c>
      <c r="L124" s="31">
        <v>0</v>
      </c>
      <c r="M124" s="31">
        <v>598</v>
      </c>
      <c r="N124" s="31">
        <v>2924188.81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f t="shared" ref="AC124:AC135" si="14">ROUND(N124*1.5%,2)</f>
        <v>43862.83</v>
      </c>
      <c r="AD124" s="31">
        <v>41907.360000000001</v>
      </c>
      <c r="AE124" s="31">
        <v>0</v>
      </c>
      <c r="AF124" s="34">
        <v>2020</v>
      </c>
      <c r="AG124" s="34">
        <v>2020</v>
      </c>
      <c r="AH124" s="35">
        <v>2020</v>
      </c>
      <c r="AT124" s="20" t="e">
        <f t="shared" si="12"/>
        <v>#N/A</v>
      </c>
      <c r="BZ124" s="71"/>
      <c r="CD124" s="20">
        <f t="shared" si="8"/>
        <v>598</v>
      </c>
      <c r="CE124" s="136" t="s">
        <v>1275</v>
      </c>
      <c r="CF124" s="136">
        <v>225.04</v>
      </c>
    </row>
    <row r="125" spans="1:84" ht="61.5" x14ac:dyDescent="0.85">
      <c r="A125" s="20">
        <v>1</v>
      </c>
      <c r="B125" s="66">
        <f>SUBTOTAL(103,$A$22:A125)</f>
        <v>103</v>
      </c>
      <c r="C125" s="24" t="s">
        <v>454</v>
      </c>
      <c r="D125" s="31">
        <f t="shared" si="13"/>
        <v>3099944.98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74">
        <v>0</v>
      </c>
      <c r="L125" s="31">
        <v>0</v>
      </c>
      <c r="M125" s="31">
        <v>592.20000000000005</v>
      </c>
      <c r="N125" s="31">
        <v>2990544.46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f t="shared" si="14"/>
        <v>44858.17</v>
      </c>
      <c r="AD125" s="31">
        <v>64542.35</v>
      </c>
      <c r="AE125" s="31">
        <v>0</v>
      </c>
      <c r="AF125" s="34">
        <v>2020</v>
      </c>
      <c r="AG125" s="34">
        <v>2020</v>
      </c>
      <c r="AH125" s="35">
        <v>2020</v>
      </c>
      <c r="AT125" s="20" t="e">
        <f t="shared" si="12"/>
        <v>#N/A</v>
      </c>
      <c r="BZ125" s="71"/>
      <c r="CD125" s="20">
        <f t="shared" si="8"/>
        <v>592.20000000000005</v>
      </c>
      <c r="CE125" s="136" t="s">
        <v>1276</v>
      </c>
      <c r="CF125" s="136">
        <v>337</v>
      </c>
    </row>
    <row r="126" spans="1:84" ht="61.5" x14ac:dyDescent="0.85">
      <c r="A126" s="20">
        <v>1</v>
      </c>
      <c r="B126" s="66">
        <f>SUBTOTAL(103,$A$22:A126)</f>
        <v>104</v>
      </c>
      <c r="C126" s="24" t="s">
        <v>455</v>
      </c>
      <c r="D126" s="31">
        <f t="shared" si="13"/>
        <v>59874.84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74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f t="shared" si="14"/>
        <v>0</v>
      </c>
      <c r="AD126" s="31">
        <v>59874.84</v>
      </c>
      <c r="AE126" s="31">
        <v>0</v>
      </c>
      <c r="AF126" s="34">
        <v>2020</v>
      </c>
      <c r="AG126" s="34" t="s">
        <v>274</v>
      </c>
      <c r="AH126" s="35" t="s">
        <v>274</v>
      </c>
      <c r="AT126" s="20" t="e">
        <f t="shared" si="12"/>
        <v>#N/A</v>
      </c>
      <c r="BZ126" s="71"/>
      <c r="CD126" s="20" t="e">
        <f t="shared" si="8"/>
        <v>#N/A</v>
      </c>
      <c r="CE126" s="136" t="s">
        <v>232</v>
      </c>
      <c r="CF126" s="136">
        <v>806.38</v>
      </c>
    </row>
    <row r="127" spans="1:84" ht="61.5" x14ac:dyDescent="0.85">
      <c r="A127" s="20">
        <v>1</v>
      </c>
      <c r="B127" s="66">
        <f>SUBTOTAL(103,$A$22:A127)</f>
        <v>105</v>
      </c>
      <c r="C127" s="24" t="s">
        <v>456</v>
      </c>
      <c r="D127" s="31">
        <f t="shared" si="13"/>
        <v>66096.710000000006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74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f t="shared" si="14"/>
        <v>0</v>
      </c>
      <c r="AD127" s="31">
        <v>66096.710000000006</v>
      </c>
      <c r="AE127" s="31">
        <v>0</v>
      </c>
      <c r="AF127" s="34">
        <v>2020</v>
      </c>
      <c r="AG127" s="34" t="s">
        <v>274</v>
      </c>
      <c r="AH127" s="35" t="s">
        <v>274</v>
      </c>
      <c r="AT127" s="20" t="e">
        <f t="shared" si="12"/>
        <v>#N/A</v>
      </c>
      <c r="BZ127" s="71"/>
      <c r="CD127" s="20" t="e">
        <f t="shared" si="8"/>
        <v>#N/A</v>
      </c>
      <c r="CE127" s="136" t="s">
        <v>235</v>
      </c>
      <c r="CF127" s="136">
        <v>308.60000000000002</v>
      </c>
    </row>
    <row r="128" spans="1:84" ht="61.5" x14ac:dyDescent="0.85">
      <c r="A128" s="20">
        <v>1</v>
      </c>
      <c r="B128" s="66">
        <f>SUBTOTAL(103,$A$22:A128)</f>
        <v>106</v>
      </c>
      <c r="C128" s="24" t="s">
        <v>457</v>
      </c>
      <c r="D128" s="31">
        <f t="shared" si="13"/>
        <v>2958496.97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74">
        <v>0</v>
      </c>
      <c r="L128" s="31">
        <v>0</v>
      </c>
      <c r="M128" s="31">
        <v>603.71</v>
      </c>
      <c r="N128" s="31">
        <v>2852841.65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f t="shared" si="14"/>
        <v>42792.62</v>
      </c>
      <c r="AD128" s="31">
        <v>62862.7</v>
      </c>
      <c r="AE128" s="31">
        <v>0</v>
      </c>
      <c r="AF128" s="34">
        <v>2020</v>
      </c>
      <c r="AG128" s="34">
        <v>2020</v>
      </c>
      <c r="AH128" s="35">
        <v>2020</v>
      </c>
      <c r="AT128" s="20" t="e">
        <f t="shared" si="12"/>
        <v>#N/A</v>
      </c>
      <c r="BZ128" s="71"/>
      <c r="CD128" s="20">
        <f t="shared" si="8"/>
        <v>603.71</v>
      </c>
      <c r="CE128" s="136" t="s">
        <v>1290</v>
      </c>
      <c r="CF128" s="136">
        <v>189.8</v>
      </c>
    </row>
    <row r="129" spans="1:84" ht="61.5" x14ac:dyDescent="0.85">
      <c r="A129" s="20">
        <v>1</v>
      </c>
      <c r="B129" s="66">
        <f>SUBTOTAL(103,$A$22:A129)</f>
        <v>107</v>
      </c>
      <c r="C129" s="24" t="s">
        <v>458</v>
      </c>
      <c r="D129" s="31">
        <f t="shared" si="13"/>
        <v>2357467.23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74">
        <v>0</v>
      </c>
      <c r="L129" s="31">
        <v>0</v>
      </c>
      <c r="M129" s="31">
        <v>588.4</v>
      </c>
      <c r="N129" s="31">
        <v>2259637.87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f t="shared" si="14"/>
        <v>33894.57</v>
      </c>
      <c r="AD129" s="31">
        <v>63934.79</v>
      </c>
      <c r="AE129" s="31">
        <v>0</v>
      </c>
      <c r="AF129" s="34">
        <v>2020</v>
      </c>
      <c r="AG129" s="34">
        <v>2020</v>
      </c>
      <c r="AH129" s="35">
        <v>2020</v>
      </c>
      <c r="AT129" s="20" t="e">
        <f t="shared" si="12"/>
        <v>#N/A</v>
      </c>
      <c r="BZ129" s="71"/>
      <c r="CD129" s="20">
        <f t="shared" si="8"/>
        <v>588.4</v>
      </c>
      <c r="CE129" s="136" t="s">
        <v>147</v>
      </c>
      <c r="CF129" s="136">
        <v>1525.2</v>
      </c>
    </row>
    <row r="130" spans="1:84" ht="61.5" x14ac:dyDescent="0.85">
      <c r="A130" s="20">
        <v>1</v>
      </c>
      <c r="B130" s="66">
        <f>SUBTOTAL(103,$A$22:A130)</f>
        <v>108</v>
      </c>
      <c r="C130" s="24" t="s">
        <v>459</v>
      </c>
      <c r="D130" s="31">
        <f t="shared" si="13"/>
        <v>3254641.7199999997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74">
        <v>0</v>
      </c>
      <c r="L130" s="31">
        <v>0</v>
      </c>
      <c r="M130" s="31">
        <v>555.39</v>
      </c>
      <c r="N130" s="31">
        <v>3123050.84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f t="shared" si="14"/>
        <v>46845.760000000002</v>
      </c>
      <c r="AD130" s="31">
        <v>84745.12</v>
      </c>
      <c r="AE130" s="31">
        <v>0</v>
      </c>
      <c r="AF130" s="34">
        <v>2020</v>
      </c>
      <c r="AG130" s="34">
        <v>2020</v>
      </c>
      <c r="AH130" s="35">
        <v>2020</v>
      </c>
      <c r="AT130" s="20" t="e">
        <f t="shared" si="12"/>
        <v>#N/A</v>
      </c>
      <c r="BZ130" s="71"/>
      <c r="CD130" s="20">
        <f t="shared" si="8"/>
        <v>555.39</v>
      </c>
      <c r="CE130" s="136" t="s">
        <v>143</v>
      </c>
      <c r="CF130" s="136">
        <v>1373.6</v>
      </c>
    </row>
    <row r="131" spans="1:84" ht="61.5" x14ac:dyDescent="0.85">
      <c r="A131" s="20">
        <v>1</v>
      </c>
      <c r="B131" s="66">
        <f>SUBTOTAL(103,$A$22:A131)</f>
        <v>109</v>
      </c>
      <c r="C131" s="24" t="s">
        <v>460</v>
      </c>
      <c r="D131" s="31">
        <f t="shared" si="13"/>
        <v>2742180.7199999997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74">
        <v>0</v>
      </c>
      <c r="L131" s="31">
        <v>0</v>
      </c>
      <c r="M131" s="31">
        <v>577</v>
      </c>
      <c r="N131" s="31">
        <v>2638768.2999999998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f t="shared" si="14"/>
        <v>39581.519999999997</v>
      </c>
      <c r="AD131" s="31">
        <v>63830.9</v>
      </c>
      <c r="AE131" s="31">
        <v>0</v>
      </c>
      <c r="AF131" s="34">
        <v>2020</v>
      </c>
      <c r="AG131" s="34">
        <v>2020</v>
      </c>
      <c r="AH131" s="35">
        <v>2020</v>
      </c>
      <c r="AT131" s="20" t="e">
        <f t="shared" si="12"/>
        <v>#N/A</v>
      </c>
      <c r="BZ131" s="71"/>
      <c r="CD131" s="20">
        <f t="shared" si="8"/>
        <v>577</v>
      </c>
      <c r="CE131" s="136" t="s">
        <v>138</v>
      </c>
      <c r="CF131" s="136">
        <v>1062.4000000000001</v>
      </c>
    </row>
    <row r="132" spans="1:84" ht="61.5" x14ac:dyDescent="0.85">
      <c r="A132" s="20">
        <v>1</v>
      </c>
      <c r="B132" s="66">
        <f>SUBTOTAL(103,$A$22:A132)</f>
        <v>110</v>
      </c>
      <c r="C132" s="24" t="s">
        <v>461</v>
      </c>
      <c r="D132" s="31">
        <f t="shared" si="13"/>
        <v>2974792.63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74">
        <v>0</v>
      </c>
      <c r="L132" s="31">
        <v>0</v>
      </c>
      <c r="M132" s="31">
        <v>567.62</v>
      </c>
      <c r="N132" s="31">
        <v>2867805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f t="shared" si="14"/>
        <v>43017.08</v>
      </c>
      <c r="AD132" s="31">
        <v>63970.55</v>
      </c>
      <c r="AE132" s="31">
        <v>0</v>
      </c>
      <c r="AF132" s="34">
        <v>2020</v>
      </c>
      <c r="AG132" s="34">
        <v>2020</v>
      </c>
      <c r="AH132" s="35">
        <v>2020</v>
      </c>
      <c r="AT132" s="20" t="e">
        <f t="shared" si="12"/>
        <v>#N/A</v>
      </c>
      <c r="BZ132" s="71"/>
      <c r="CD132" s="20">
        <f t="shared" si="8"/>
        <v>567.62</v>
      </c>
      <c r="CE132" s="136" t="s">
        <v>1286</v>
      </c>
      <c r="CF132" s="136">
        <v>1105</v>
      </c>
    </row>
    <row r="133" spans="1:84" ht="61.5" x14ac:dyDescent="0.85">
      <c r="A133" s="20">
        <v>1</v>
      </c>
      <c r="B133" s="66">
        <f>SUBTOTAL(103,$A$22:A133)</f>
        <v>111</v>
      </c>
      <c r="C133" s="24" t="s">
        <v>462</v>
      </c>
      <c r="D133" s="31">
        <f t="shared" si="13"/>
        <v>4857461.72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74">
        <v>0</v>
      </c>
      <c r="L133" s="31">
        <v>0</v>
      </c>
      <c r="M133" s="31">
        <v>865.12</v>
      </c>
      <c r="N133" s="31">
        <v>4643701.7699999996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f t="shared" si="14"/>
        <v>69655.53</v>
      </c>
      <c r="AD133" s="31">
        <v>144104.42000000001</v>
      </c>
      <c r="AE133" s="31">
        <v>0</v>
      </c>
      <c r="AF133" s="34">
        <v>2020</v>
      </c>
      <c r="AG133" s="34">
        <v>2020</v>
      </c>
      <c r="AH133" s="35">
        <v>2020</v>
      </c>
      <c r="AT133" s="20" t="e">
        <f t="shared" si="12"/>
        <v>#N/A</v>
      </c>
      <c r="BZ133" s="71"/>
      <c r="CD133" s="20">
        <f t="shared" si="8"/>
        <v>865.12</v>
      </c>
      <c r="CE133" s="136" t="s">
        <v>1288</v>
      </c>
      <c r="CF133" s="136">
        <v>1401.4</v>
      </c>
    </row>
    <row r="134" spans="1:84" ht="61.5" x14ac:dyDescent="0.85">
      <c r="A134" s="20">
        <v>1</v>
      </c>
      <c r="B134" s="66">
        <f>SUBTOTAL(103,$A$22:A134)</f>
        <v>112</v>
      </c>
      <c r="C134" s="24" t="s">
        <v>463</v>
      </c>
      <c r="D134" s="31">
        <f t="shared" si="13"/>
        <v>2885005.74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74">
        <v>0</v>
      </c>
      <c r="L134" s="31">
        <v>0</v>
      </c>
      <c r="M134" s="31">
        <v>556.79999999999995</v>
      </c>
      <c r="N134" s="31">
        <v>2779000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f t="shared" si="14"/>
        <v>41685</v>
      </c>
      <c r="AD134" s="31">
        <v>64320.74</v>
      </c>
      <c r="AE134" s="31">
        <v>0</v>
      </c>
      <c r="AF134" s="34">
        <v>2020</v>
      </c>
      <c r="AG134" s="34">
        <v>2020</v>
      </c>
      <c r="AH134" s="35">
        <v>2020</v>
      </c>
      <c r="AT134" s="20" t="e">
        <f t="shared" si="12"/>
        <v>#N/A</v>
      </c>
      <c r="BZ134" s="71"/>
      <c r="CD134" s="20">
        <f t="shared" si="8"/>
        <v>556.79999999999995</v>
      </c>
      <c r="CE134" s="136" t="s">
        <v>1285</v>
      </c>
      <c r="CF134" s="136">
        <v>467.74</v>
      </c>
    </row>
    <row r="135" spans="1:84" ht="61.5" x14ac:dyDescent="0.85">
      <c r="A135" s="20">
        <v>1</v>
      </c>
      <c r="B135" s="66">
        <f>SUBTOTAL(103,$A$22:A135)</f>
        <v>113</v>
      </c>
      <c r="C135" s="24" t="s">
        <v>464</v>
      </c>
      <c r="D135" s="31">
        <f t="shared" si="13"/>
        <v>4516946.4800000004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74">
        <v>0</v>
      </c>
      <c r="L135" s="31">
        <v>0</v>
      </c>
      <c r="M135" s="31">
        <v>860.91</v>
      </c>
      <c r="N135" s="31">
        <v>4341703.6100000003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f t="shared" si="14"/>
        <v>65125.55</v>
      </c>
      <c r="AD135" s="31">
        <v>110117.32</v>
      </c>
      <c r="AE135" s="31">
        <v>0</v>
      </c>
      <c r="AF135" s="34">
        <v>2020</v>
      </c>
      <c r="AG135" s="34">
        <v>2020</v>
      </c>
      <c r="AH135" s="35">
        <v>2020</v>
      </c>
      <c r="AT135" s="20" t="e">
        <f t="shared" si="12"/>
        <v>#N/A</v>
      </c>
      <c r="BZ135" s="71"/>
      <c r="CD135" s="20">
        <f t="shared" si="8"/>
        <v>860.91</v>
      </c>
      <c r="CE135" s="136" t="s">
        <v>1293</v>
      </c>
      <c r="CF135" s="136">
        <v>949</v>
      </c>
    </row>
    <row r="136" spans="1:84" ht="61.5" x14ac:dyDescent="0.85">
      <c r="A136" s="20">
        <v>1</v>
      </c>
      <c r="B136" s="66">
        <f>SUBTOTAL(103,$A$22:A136)</f>
        <v>114</v>
      </c>
      <c r="C136" s="24" t="s">
        <v>465</v>
      </c>
      <c r="D136" s="31">
        <f t="shared" si="13"/>
        <v>2488287.8899999997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74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475</v>
      </c>
      <c r="R136" s="31">
        <v>2323436.34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f>ROUND(R136*1.5%,2)</f>
        <v>34851.550000000003</v>
      </c>
      <c r="AD136" s="31">
        <v>130000</v>
      </c>
      <c r="AE136" s="31">
        <v>0</v>
      </c>
      <c r="AF136" s="34">
        <v>2020</v>
      </c>
      <c r="AG136" s="34">
        <v>2020</v>
      </c>
      <c r="AH136" s="35">
        <v>2020</v>
      </c>
      <c r="AT136" s="20" t="e">
        <f t="shared" si="12"/>
        <v>#N/A</v>
      </c>
      <c r="BZ136" s="71"/>
      <c r="CD136" s="20" t="e">
        <f t="shared" si="8"/>
        <v>#N/A</v>
      </c>
      <c r="CE136" s="136" t="s">
        <v>1296</v>
      </c>
      <c r="CF136" s="136">
        <v>437.4</v>
      </c>
    </row>
    <row r="137" spans="1:84" ht="61.5" x14ac:dyDescent="0.85">
      <c r="A137" s="20">
        <v>1</v>
      </c>
      <c r="B137" s="66">
        <f>SUBTOTAL(103,$A$22:A137)</f>
        <v>115</v>
      </c>
      <c r="C137" s="24" t="s">
        <v>1163</v>
      </c>
      <c r="D137" s="31">
        <f t="shared" si="13"/>
        <v>3344006.3800000004</v>
      </c>
      <c r="E137" s="31">
        <v>0</v>
      </c>
      <c r="F137" s="31">
        <v>0</v>
      </c>
      <c r="G137" s="31">
        <v>1729603.72</v>
      </c>
      <c r="H137" s="31">
        <v>0</v>
      </c>
      <c r="I137" s="31">
        <v>1564983.85</v>
      </c>
      <c r="J137" s="31">
        <v>0</v>
      </c>
      <c r="K137" s="74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f>ROUND((E137+F137+G137+H137+I137+J137)*1.5%,2)</f>
        <v>49418.81</v>
      </c>
      <c r="AD137" s="31">
        <v>0</v>
      </c>
      <c r="AE137" s="31">
        <v>0</v>
      </c>
      <c r="AF137" s="34" t="s">
        <v>274</v>
      </c>
      <c r="AG137" s="34">
        <v>2020</v>
      </c>
      <c r="AH137" s="35">
        <v>2020</v>
      </c>
      <c r="BZ137" s="71"/>
      <c r="CD137" s="20" t="e">
        <f t="shared" si="8"/>
        <v>#N/A</v>
      </c>
      <c r="CE137" s="136" t="s">
        <v>1297</v>
      </c>
      <c r="CF137" s="136">
        <v>408</v>
      </c>
    </row>
    <row r="138" spans="1:84" ht="61.5" x14ac:dyDescent="0.85">
      <c r="A138" s="20">
        <v>1</v>
      </c>
      <c r="B138" s="66">
        <f>SUBTOTAL(103,$A$22:A138)</f>
        <v>116</v>
      </c>
      <c r="C138" s="24" t="s">
        <v>1164</v>
      </c>
      <c r="D138" s="31">
        <f t="shared" si="13"/>
        <v>3020889.5500000003</v>
      </c>
      <c r="E138" s="31">
        <v>0</v>
      </c>
      <c r="F138" s="31">
        <v>0</v>
      </c>
      <c r="G138" s="31">
        <v>1899196.59</v>
      </c>
      <c r="H138" s="31">
        <v>0</v>
      </c>
      <c r="I138" s="31">
        <v>1077049.27</v>
      </c>
      <c r="J138" s="31">
        <v>0</v>
      </c>
      <c r="K138" s="74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f>ROUND((E138+F138+G138+H138+I138+J138)*1.5%,2)</f>
        <v>44643.69</v>
      </c>
      <c r="AD138" s="31">
        <v>0</v>
      </c>
      <c r="AE138" s="31">
        <v>0</v>
      </c>
      <c r="AF138" s="34" t="s">
        <v>274</v>
      </c>
      <c r="AG138" s="34">
        <v>2020</v>
      </c>
      <c r="AH138" s="35">
        <v>2020</v>
      </c>
      <c r="BZ138" s="71"/>
      <c r="CD138" s="20" t="e">
        <f t="shared" si="8"/>
        <v>#N/A</v>
      </c>
      <c r="CE138" s="136" t="s">
        <v>192</v>
      </c>
      <c r="CF138" s="136">
        <v>1028.5999999999999</v>
      </c>
    </row>
    <row r="139" spans="1:84" ht="61.5" x14ac:dyDescent="0.85">
      <c r="A139" s="20">
        <v>1</v>
      </c>
      <c r="B139" s="66">
        <f>SUBTOTAL(103,$A$22:A139)</f>
        <v>117</v>
      </c>
      <c r="C139" s="24" t="s">
        <v>1165</v>
      </c>
      <c r="D139" s="31">
        <f t="shared" si="13"/>
        <v>1666784.6600000001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74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741.84</v>
      </c>
      <c r="R139" s="31">
        <v>1642152.37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f>ROUND(R139*1.5%,2)</f>
        <v>24632.29</v>
      </c>
      <c r="AD139" s="31">
        <v>0</v>
      </c>
      <c r="AE139" s="31">
        <v>0</v>
      </c>
      <c r="AF139" s="34" t="s">
        <v>274</v>
      </c>
      <c r="AG139" s="34">
        <v>2020</v>
      </c>
      <c r="AH139" s="35">
        <v>2020</v>
      </c>
      <c r="BZ139" s="71"/>
      <c r="CD139" s="20" t="e">
        <f t="shared" si="8"/>
        <v>#N/A</v>
      </c>
      <c r="CE139" s="136" t="s">
        <v>191</v>
      </c>
      <c r="CF139" s="136">
        <v>578.4</v>
      </c>
    </row>
    <row r="140" spans="1:84" ht="61.5" x14ac:dyDescent="0.85">
      <c r="A140" s="20">
        <v>1</v>
      </c>
      <c r="B140" s="66">
        <f>SUBTOTAL(103,$A$22:A140)</f>
        <v>118</v>
      </c>
      <c r="C140" s="24" t="s">
        <v>1166</v>
      </c>
      <c r="D140" s="31">
        <f t="shared" si="13"/>
        <v>2074334.5899999999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74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905.1</v>
      </c>
      <c r="R140" s="31">
        <v>2043679.4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f>ROUND(R140*1.5%,2)</f>
        <v>30655.19</v>
      </c>
      <c r="AD140" s="31">
        <v>0</v>
      </c>
      <c r="AE140" s="31">
        <v>0</v>
      </c>
      <c r="AF140" s="34" t="s">
        <v>274</v>
      </c>
      <c r="AG140" s="34">
        <v>2020</v>
      </c>
      <c r="AH140" s="35">
        <v>2020</v>
      </c>
      <c r="BZ140" s="71"/>
      <c r="CD140" s="20" t="e">
        <f t="shared" si="8"/>
        <v>#N/A</v>
      </c>
      <c r="CE140" s="136" t="s">
        <v>190</v>
      </c>
      <c r="CF140" s="136">
        <v>378</v>
      </c>
    </row>
    <row r="141" spans="1:84" ht="61.5" x14ac:dyDescent="0.85">
      <c r="A141" s="20">
        <v>1</v>
      </c>
      <c r="B141" s="66">
        <f>SUBTOTAL(103,$A$22:A141)</f>
        <v>119</v>
      </c>
      <c r="C141" s="24" t="s">
        <v>1167</v>
      </c>
      <c r="D141" s="31">
        <f t="shared" si="13"/>
        <v>154761.32999999999</v>
      </c>
      <c r="E141" s="31">
        <v>0</v>
      </c>
      <c r="F141" s="31">
        <v>0</v>
      </c>
      <c r="G141" s="31">
        <v>0</v>
      </c>
      <c r="H141" s="31">
        <v>0</v>
      </c>
      <c r="I141" s="31">
        <v>152474.22</v>
      </c>
      <c r="J141" s="31">
        <v>0</v>
      </c>
      <c r="K141" s="74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f>ROUND((E141+F141+G141+H141+I141+J141)*1.5%,2)</f>
        <v>2287.11</v>
      </c>
      <c r="AD141" s="31">
        <v>0</v>
      </c>
      <c r="AE141" s="31">
        <v>0</v>
      </c>
      <c r="AF141" s="34" t="s">
        <v>274</v>
      </c>
      <c r="AG141" s="34">
        <v>2020</v>
      </c>
      <c r="AH141" s="35">
        <v>2020</v>
      </c>
      <c r="BZ141" s="71"/>
      <c r="CD141" s="20" t="e">
        <f t="shared" si="8"/>
        <v>#N/A</v>
      </c>
      <c r="CE141" s="136" t="s">
        <v>221</v>
      </c>
      <c r="CF141" s="136">
        <v>1057.07</v>
      </c>
    </row>
    <row r="142" spans="1:84" ht="61.5" x14ac:dyDescent="0.85">
      <c r="A142" s="20">
        <v>1</v>
      </c>
      <c r="B142" s="66">
        <f>SUBTOTAL(103,$A$22:A142)</f>
        <v>120</v>
      </c>
      <c r="C142" s="24" t="s">
        <v>1168</v>
      </c>
      <c r="D142" s="31">
        <f t="shared" si="13"/>
        <v>1358011.7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74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490</v>
      </c>
      <c r="R142" s="31">
        <v>1337942.56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f>ROUND(R142*1.5%,2)</f>
        <v>20069.14</v>
      </c>
      <c r="AD142" s="31">
        <v>0</v>
      </c>
      <c r="AE142" s="31">
        <v>0</v>
      </c>
      <c r="AF142" s="34" t="s">
        <v>274</v>
      </c>
      <c r="AG142" s="34">
        <v>2020</v>
      </c>
      <c r="AH142" s="35">
        <v>2020</v>
      </c>
      <c r="BZ142" s="71"/>
      <c r="CD142" s="20" t="e">
        <f t="shared" si="8"/>
        <v>#N/A</v>
      </c>
      <c r="CE142" s="136" t="s">
        <v>225</v>
      </c>
      <c r="CF142" s="136">
        <v>615.20000000000005</v>
      </c>
    </row>
    <row r="143" spans="1:84" ht="61.5" x14ac:dyDescent="0.85">
      <c r="A143" s="20">
        <v>1</v>
      </c>
      <c r="B143" s="66">
        <f>SUBTOTAL(103,$A$22:A143)</f>
        <v>121</v>
      </c>
      <c r="C143" s="24" t="s">
        <v>1169</v>
      </c>
      <c r="D143" s="31">
        <f t="shared" si="13"/>
        <v>741685.94</v>
      </c>
      <c r="E143" s="31">
        <v>93824.95</v>
      </c>
      <c r="F143" s="31">
        <v>0</v>
      </c>
      <c r="G143" s="31">
        <v>324128.62</v>
      </c>
      <c r="H143" s="31">
        <v>134041.13</v>
      </c>
      <c r="I143" s="31">
        <v>178730.36</v>
      </c>
      <c r="J143" s="31">
        <v>0</v>
      </c>
      <c r="K143" s="74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f>ROUND((E143+F143+G143+H143+I143+J143)*1.5%,2)</f>
        <v>10960.88</v>
      </c>
      <c r="AD143" s="31">
        <v>0</v>
      </c>
      <c r="AE143" s="31">
        <v>0</v>
      </c>
      <c r="AF143" s="34" t="s">
        <v>274</v>
      </c>
      <c r="AG143" s="34">
        <v>2020</v>
      </c>
      <c r="AH143" s="35">
        <v>2020</v>
      </c>
      <c r="BZ143" s="71"/>
      <c r="CD143" s="20" t="e">
        <f t="shared" si="8"/>
        <v>#N/A</v>
      </c>
      <c r="CE143" s="136" t="s">
        <v>227</v>
      </c>
      <c r="CF143" s="136">
        <v>289.86</v>
      </c>
    </row>
    <row r="144" spans="1:84" ht="61.5" x14ac:dyDescent="0.85">
      <c r="A144" s="20">
        <v>1</v>
      </c>
      <c r="B144" s="66">
        <f>SUBTOTAL(103,$A$22:A144)</f>
        <v>122</v>
      </c>
      <c r="C144" s="24" t="s">
        <v>1170</v>
      </c>
      <c r="D144" s="31">
        <f t="shared" si="13"/>
        <v>2205149.9699999997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74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802.93</v>
      </c>
      <c r="R144" s="31">
        <v>2172561.5499999998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f>ROUND(R144*1.5%,2)</f>
        <v>32588.42</v>
      </c>
      <c r="AD144" s="31">
        <v>0</v>
      </c>
      <c r="AE144" s="31">
        <v>0</v>
      </c>
      <c r="AF144" s="34" t="s">
        <v>274</v>
      </c>
      <c r="AG144" s="34">
        <v>2020</v>
      </c>
      <c r="AH144" s="35">
        <v>2020</v>
      </c>
      <c r="BZ144" s="71"/>
      <c r="CD144" s="20" t="e">
        <f t="shared" si="8"/>
        <v>#N/A</v>
      </c>
      <c r="CE144" s="136" t="s">
        <v>525</v>
      </c>
      <c r="CF144" s="136">
        <v>952</v>
      </c>
    </row>
    <row r="145" spans="1:84" ht="61.5" x14ac:dyDescent="0.85">
      <c r="A145" s="20">
        <v>1</v>
      </c>
      <c r="B145" s="66">
        <f>SUBTOTAL(103,$A$22:A145)</f>
        <v>123</v>
      </c>
      <c r="C145" s="24" t="s">
        <v>1171</v>
      </c>
      <c r="D145" s="31">
        <f t="shared" si="13"/>
        <v>1409669.3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74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573.12</v>
      </c>
      <c r="R145" s="31">
        <v>1388836.75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f>ROUND(R145*1.5%,2)</f>
        <v>20832.55</v>
      </c>
      <c r="AD145" s="31">
        <v>0</v>
      </c>
      <c r="AE145" s="31">
        <v>0</v>
      </c>
      <c r="AF145" s="34" t="s">
        <v>274</v>
      </c>
      <c r="AG145" s="34">
        <v>2020</v>
      </c>
      <c r="AH145" s="35">
        <v>2020</v>
      </c>
      <c r="BZ145" s="71"/>
      <c r="CD145" s="20" t="e">
        <f t="shared" si="8"/>
        <v>#N/A</v>
      </c>
      <c r="CE145" s="136" t="s">
        <v>536</v>
      </c>
      <c r="CF145" s="136">
        <v>904</v>
      </c>
    </row>
    <row r="146" spans="1:84" ht="61.5" x14ac:dyDescent="0.85">
      <c r="A146" s="20">
        <v>1</v>
      </c>
      <c r="B146" s="66">
        <f>SUBTOTAL(103,$A$22:A146)</f>
        <v>124</v>
      </c>
      <c r="C146" s="24" t="s">
        <v>1172</v>
      </c>
      <c r="D146" s="31">
        <f t="shared" si="13"/>
        <v>1971369.43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74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450.1</v>
      </c>
      <c r="R146" s="31">
        <v>1824009.29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f>ROUND(R146*1.5%,2)</f>
        <v>27360.14</v>
      </c>
      <c r="AD146" s="31">
        <v>0</v>
      </c>
      <c r="AE146" s="31">
        <v>120000</v>
      </c>
      <c r="AF146" s="34" t="s">
        <v>274</v>
      </c>
      <c r="AG146" s="34">
        <v>2020</v>
      </c>
      <c r="AH146" s="35">
        <v>2020</v>
      </c>
      <c r="BZ146" s="71"/>
      <c r="CD146" s="20" t="e">
        <f t="shared" si="8"/>
        <v>#N/A</v>
      </c>
      <c r="CE146" s="136" t="s">
        <v>454</v>
      </c>
      <c r="CF146" s="136">
        <v>592.20000000000005</v>
      </c>
    </row>
    <row r="147" spans="1:84" ht="61.5" x14ac:dyDescent="0.85">
      <c r="A147" s="20">
        <v>1</v>
      </c>
      <c r="B147" s="66">
        <f>SUBTOTAL(103,$A$22:A147)</f>
        <v>125</v>
      </c>
      <c r="C147" s="24" t="s">
        <v>1173</v>
      </c>
      <c r="D147" s="31">
        <f t="shared" si="13"/>
        <v>5593558.4000000004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74">
        <v>4</v>
      </c>
      <c r="L147" s="31">
        <v>5593558.4000000004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4" t="s">
        <v>274</v>
      </c>
      <c r="AG147" s="34">
        <v>2020</v>
      </c>
      <c r="AH147" s="35" t="s">
        <v>274</v>
      </c>
      <c r="BZ147" s="71"/>
      <c r="CD147" s="20" t="e">
        <f t="shared" si="8"/>
        <v>#N/A</v>
      </c>
      <c r="CE147" s="136" t="s">
        <v>648</v>
      </c>
      <c r="CF147" s="136">
        <v>586.70000000000005</v>
      </c>
    </row>
    <row r="148" spans="1:84" ht="61.5" x14ac:dyDescent="0.85">
      <c r="A148" s="20">
        <v>1</v>
      </c>
      <c r="B148" s="66">
        <f>SUBTOTAL(103,$A$22:A148)</f>
        <v>126</v>
      </c>
      <c r="C148" s="24" t="s">
        <v>1174</v>
      </c>
      <c r="D148" s="31">
        <f t="shared" si="13"/>
        <v>3010382.16</v>
      </c>
      <c r="E148" s="31">
        <v>188641.32</v>
      </c>
      <c r="F148" s="31">
        <v>0</v>
      </c>
      <c r="G148" s="31">
        <v>1349896.11</v>
      </c>
      <c r="H148" s="31">
        <v>178663.47</v>
      </c>
      <c r="I148" s="31">
        <v>1248692.8500000001</v>
      </c>
      <c r="J148" s="31">
        <v>0</v>
      </c>
      <c r="K148" s="74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f>ROUND((E148+F148+G148+H148+I148+J148)*1.5%,2)</f>
        <v>44488.41</v>
      </c>
      <c r="AD148" s="31">
        <v>0</v>
      </c>
      <c r="AE148" s="31">
        <v>0</v>
      </c>
      <c r="AF148" s="34" t="s">
        <v>274</v>
      </c>
      <c r="AG148" s="34">
        <v>2020</v>
      </c>
      <c r="AH148" s="35">
        <v>2020</v>
      </c>
      <c r="BZ148" s="71"/>
      <c r="CD148" s="20" t="e">
        <f t="shared" si="8"/>
        <v>#N/A</v>
      </c>
      <c r="CE148" s="136" t="s">
        <v>649</v>
      </c>
      <c r="CF148" s="136">
        <v>384.56</v>
      </c>
    </row>
    <row r="149" spans="1:84" ht="61.5" x14ac:dyDescent="0.85">
      <c r="A149" s="20">
        <v>1</v>
      </c>
      <c r="B149" s="66">
        <f>SUBTOTAL(103,$A$22:A149)</f>
        <v>127</v>
      </c>
      <c r="C149" s="24" t="s">
        <v>1175</v>
      </c>
      <c r="D149" s="31">
        <f t="shared" si="13"/>
        <v>2901759.67</v>
      </c>
      <c r="E149" s="31">
        <v>204220.48</v>
      </c>
      <c r="F149" s="31">
        <v>347232.06</v>
      </c>
      <c r="G149" s="31">
        <v>968662.29</v>
      </c>
      <c r="H149" s="31">
        <v>340067.7</v>
      </c>
      <c r="I149" s="31">
        <v>998693.99</v>
      </c>
      <c r="J149" s="31">
        <v>0</v>
      </c>
      <c r="K149" s="74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f>ROUND((E149+F149+G149+H149+I149+J149)*1.5%,2)</f>
        <v>42883.15</v>
      </c>
      <c r="AD149" s="31">
        <v>0</v>
      </c>
      <c r="AE149" s="31">
        <v>0</v>
      </c>
      <c r="AF149" s="34" t="s">
        <v>274</v>
      </c>
      <c r="AG149" s="34">
        <v>2020</v>
      </c>
      <c r="AH149" s="35">
        <v>2020</v>
      </c>
      <c r="BZ149" s="71"/>
      <c r="CD149" s="20" t="e">
        <f t="shared" si="8"/>
        <v>#N/A</v>
      </c>
      <c r="CE149" s="136" t="s">
        <v>1311</v>
      </c>
      <c r="CF149" s="136">
        <v>500</v>
      </c>
    </row>
    <row r="150" spans="1:84" ht="61.5" x14ac:dyDescent="0.85">
      <c r="A150" s="20">
        <v>1</v>
      </c>
      <c r="B150" s="66">
        <f>SUBTOTAL(103,$A$22:A150)</f>
        <v>128</v>
      </c>
      <c r="C150" s="24" t="s">
        <v>1176</v>
      </c>
      <c r="D150" s="31">
        <f t="shared" si="13"/>
        <v>5068816.8</v>
      </c>
      <c r="E150" s="31">
        <v>0</v>
      </c>
      <c r="F150" s="31">
        <v>0</v>
      </c>
      <c r="G150" s="31">
        <v>2189130.42</v>
      </c>
      <c r="H150" s="31">
        <v>460575.66</v>
      </c>
      <c r="I150" s="31">
        <v>2344202.1</v>
      </c>
      <c r="J150" s="31">
        <v>0</v>
      </c>
      <c r="K150" s="74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f>ROUND((E150+F150+G150+H150+I150+J150)*1.5%,2)</f>
        <v>74908.62</v>
      </c>
      <c r="AD150" s="31">
        <v>0</v>
      </c>
      <c r="AE150" s="31">
        <v>0</v>
      </c>
      <c r="AF150" s="34" t="s">
        <v>274</v>
      </c>
      <c r="AG150" s="34">
        <v>2020</v>
      </c>
      <c r="AH150" s="35">
        <v>2020</v>
      </c>
      <c r="BZ150" s="71"/>
      <c r="CD150" s="20" t="e">
        <f t="shared" ref="CD150:CD213" si="15">VLOOKUP(C150,CE:CF,2,FALSE)</f>
        <v>#N/A</v>
      </c>
      <c r="CE150" s="136" t="s">
        <v>1137</v>
      </c>
      <c r="CF150" s="136">
        <v>946</v>
      </c>
    </row>
    <row r="151" spans="1:84" ht="61.5" x14ac:dyDescent="0.85">
      <c r="A151" s="20">
        <v>1</v>
      </c>
      <c r="B151" s="66">
        <f>SUBTOTAL(103,$A$22:A151)</f>
        <v>129</v>
      </c>
      <c r="C151" s="24" t="s">
        <v>1177</v>
      </c>
      <c r="D151" s="31">
        <f t="shared" si="13"/>
        <v>2486221.36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74">
        <v>0</v>
      </c>
      <c r="L151" s="31">
        <v>0</v>
      </c>
      <c r="M151" s="31">
        <v>619</v>
      </c>
      <c r="N151" s="31">
        <v>2350957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f>ROUND(N151*1.5%,2)</f>
        <v>35264.36</v>
      </c>
      <c r="AD151" s="31">
        <v>100000</v>
      </c>
      <c r="AE151" s="31">
        <v>0</v>
      </c>
      <c r="AF151" s="34">
        <v>2020</v>
      </c>
      <c r="AG151" s="34">
        <v>2020</v>
      </c>
      <c r="AH151" s="35">
        <v>2020</v>
      </c>
      <c r="BZ151" s="71"/>
      <c r="CD151" s="20">
        <f t="shared" si="15"/>
        <v>633.34</v>
      </c>
      <c r="CE151" s="136" t="s">
        <v>1138</v>
      </c>
      <c r="CF151" s="136">
        <v>365.5</v>
      </c>
    </row>
    <row r="152" spans="1:84" ht="61.5" x14ac:dyDescent="0.85">
      <c r="A152" s="20">
        <v>1</v>
      </c>
      <c r="B152" s="66">
        <f>SUBTOTAL(103,$A$22:A152)</f>
        <v>130</v>
      </c>
      <c r="C152" s="24" t="s">
        <v>1313</v>
      </c>
      <c r="D152" s="31">
        <f t="shared" si="13"/>
        <v>6724715.4900000002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74">
        <v>0</v>
      </c>
      <c r="L152" s="31">
        <v>0</v>
      </c>
      <c r="M152" s="31">
        <v>1674.7</v>
      </c>
      <c r="N152" s="31">
        <f>6576743.56+48591.9</f>
        <v>6625335.46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f>ROUND(N152*1.5%,2)</f>
        <v>99380.03</v>
      </c>
      <c r="AD152" s="31">
        <v>0</v>
      </c>
      <c r="AE152" s="31">
        <v>0</v>
      </c>
      <c r="AF152" s="34" t="s">
        <v>274</v>
      </c>
      <c r="AG152" s="34">
        <v>2020</v>
      </c>
      <c r="AH152" s="35">
        <v>2020</v>
      </c>
      <c r="BZ152" s="71"/>
      <c r="CD152" s="20">
        <f t="shared" si="15"/>
        <v>1674.7</v>
      </c>
      <c r="CE152" s="136" t="s">
        <v>1139</v>
      </c>
      <c r="CF152" s="136">
        <v>365.5</v>
      </c>
    </row>
    <row r="153" spans="1:84" ht="61.5" x14ac:dyDescent="0.85">
      <c r="A153" s="20">
        <v>1</v>
      </c>
      <c r="B153" s="66">
        <f>SUBTOTAL(103,$A$22:A153)</f>
        <v>131</v>
      </c>
      <c r="C153" s="24" t="s">
        <v>473</v>
      </c>
      <c r="D153" s="31">
        <f t="shared" si="13"/>
        <v>4358701.74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74">
        <v>0</v>
      </c>
      <c r="L153" s="31">
        <v>0</v>
      </c>
      <c r="M153" s="31">
        <v>719</v>
      </c>
      <c r="N153" s="31">
        <v>4176060.83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f>ROUND(N153*1.5%,2)</f>
        <v>62640.91</v>
      </c>
      <c r="AD153" s="31">
        <v>120000</v>
      </c>
      <c r="AE153" s="31">
        <v>0</v>
      </c>
      <c r="AF153" s="34">
        <v>2020</v>
      </c>
      <c r="AG153" s="34">
        <v>2020</v>
      </c>
      <c r="AH153" s="35">
        <v>2020</v>
      </c>
      <c r="BZ153" s="71"/>
      <c r="CD153" s="20" t="e">
        <f t="shared" si="15"/>
        <v>#N/A</v>
      </c>
      <c r="CE153" s="136" t="s">
        <v>453</v>
      </c>
      <c r="CF153" s="136">
        <v>598</v>
      </c>
    </row>
    <row r="154" spans="1:84" ht="61.5" x14ac:dyDescent="0.85">
      <c r="A154" s="20">
        <v>1</v>
      </c>
      <c r="B154" s="66">
        <f>SUBTOTAL(103,$A$22:A154)</f>
        <v>132</v>
      </c>
      <c r="C154" s="24" t="s">
        <v>1314</v>
      </c>
      <c r="D154" s="31">
        <f t="shared" si="13"/>
        <v>3032293.2399999998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74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593.15</v>
      </c>
      <c r="R154" s="31">
        <v>2879106.6399999997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f>ROUND(R154*1.5%,2)</f>
        <v>43186.6</v>
      </c>
      <c r="AD154" s="31">
        <v>110000</v>
      </c>
      <c r="AE154" s="31">
        <v>0</v>
      </c>
      <c r="AF154" s="34">
        <v>2020</v>
      </c>
      <c r="AG154" s="34">
        <v>2020</v>
      </c>
      <c r="AH154" s="35">
        <v>2020</v>
      </c>
      <c r="BZ154" s="71"/>
      <c r="CD154" s="20" t="e">
        <f t="shared" si="15"/>
        <v>#N/A</v>
      </c>
      <c r="CE154" s="136" t="s">
        <v>645</v>
      </c>
      <c r="CF154" s="136">
        <v>486.27</v>
      </c>
    </row>
    <row r="155" spans="1:84" ht="61.5" x14ac:dyDescent="0.85">
      <c r="A155" s="20">
        <v>1</v>
      </c>
      <c r="B155" s="66">
        <f>SUBTOTAL(103,$A$22:A155)</f>
        <v>133</v>
      </c>
      <c r="C155" s="24" t="s">
        <v>1602</v>
      </c>
      <c r="D155" s="31">
        <f t="shared" si="13"/>
        <v>2944456.9299999997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74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634.6</v>
      </c>
      <c r="R155" s="31">
        <v>2776416.6199999996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f>ROUND(R155*1.5%,2)</f>
        <v>41646.25</v>
      </c>
      <c r="AD155" s="31">
        <f>120000+6394.06</f>
        <v>126394.06</v>
      </c>
      <c r="AE155" s="31">
        <v>0</v>
      </c>
      <c r="AF155" s="34">
        <v>2020</v>
      </c>
      <c r="AG155" s="34">
        <v>2020</v>
      </c>
      <c r="AH155" s="35">
        <v>2020</v>
      </c>
      <c r="BZ155" s="71"/>
      <c r="CD155" s="20" t="e">
        <f t="shared" si="15"/>
        <v>#N/A</v>
      </c>
      <c r="CE155" s="136" t="s">
        <v>117</v>
      </c>
      <c r="CF155" s="136">
        <v>1151</v>
      </c>
    </row>
    <row r="156" spans="1:84" ht="61.5" x14ac:dyDescent="0.85">
      <c r="B156" s="24" t="s">
        <v>782</v>
      </c>
      <c r="C156" s="129"/>
      <c r="D156" s="31">
        <f t="shared" ref="D156:AE156" si="16">SUM(D157:D195)</f>
        <v>138223700.99000001</v>
      </c>
      <c r="E156" s="31">
        <f t="shared" si="16"/>
        <v>587672.90999999992</v>
      </c>
      <c r="F156" s="31">
        <f t="shared" si="16"/>
        <v>735842.56</v>
      </c>
      <c r="G156" s="31">
        <f t="shared" si="16"/>
        <v>12339472.629999999</v>
      </c>
      <c r="H156" s="31">
        <f t="shared" si="16"/>
        <v>253223.24</v>
      </c>
      <c r="I156" s="31">
        <f t="shared" si="16"/>
        <v>915826.1100000001</v>
      </c>
      <c r="J156" s="31">
        <f t="shared" si="16"/>
        <v>0</v>
      </c>
      <c r="K156" s="33">
        <f t="shared" si="16"/>
        <v>16</v>
      </c>
      <c r="L156" s="31">
        <f t="shared" si="16"/>
        <v>24974672.749999996</v>
      </c>
      <c r="M156" s="31">
        <f t="shared" si="16"/>
        <v>16813.18</v>
      </c>
      <c r="N156" s="31">
        <f t="shared" si="16"/>
        <v>71440172.760000005</v>
      </c>
      <c r="O156" s="31">
        <f t="shared" si="16"/>
        <v>725.5</v>
      </c>
      <c r="P156" s="31">
        <f t="shared" si="16"/>
        <v>2835629.57</v>
      </c>
      <c r="Q156" s="31">
        <f t="shared" si="16"/>
        <v>2524</v>
      </c>
      <c r="R156" s="31">
        <f t="shared" si="16"/>
        <v>13084284.02</v>
      </c>
      <c r="S156" s="31">
        <f t="shared" si="16"/>
        <v>394.07</v>
      </c>
      <c r="T156" s="31">
        <f t="shared" si="16"/>
        <v>7110458.3099999996</v>
      </c>
      <c r="U156" s="31">
        <f t="shared" si="16"/>
        <v>0</v>
      </c>
      <c r="V156" s="31">
        <f t="shared" si="16"/>
        <v>0</v>
      </c>
      <c r="W156" s="31">
        <f t="shared" si="16"/>
        <v>0</v>
      </c>
      <c r="X156" s="31">
        <f t="shared" si="16"/>
        <v>0</v>
      </c>
      <c r="Y156" s="31">
        <f t="shared" si="16"/>
        <v>0</v>
      </c>
      <c r="Z156" s="31">
        <f t="shared" si="16"/>
        <v>0</v>
      </c>
      <c r="AA156" s="31">
        <f t="shared" si="16"/>
        <v>0</v>
      </c>
      <c r="AB156" s="31">
        <f t="shared" si="16"/>
        <v>0</v>
      </c>
      <c r="AC156" s="31">
        <f t="shared" si="16"/>
        <v>1577258.06</v>
      </c>
      <c r="AD156" s="31">
        <f t="shared" si="16"/>
        <v>2369188.0699999994</v>
      </c>
      <c r="AE156" s="31">
        <f t="shared" si="16"/>
        <v>0</v>
      </c>
      <c r="AF156" s="72" t="s">
        <v>776</v>
      </c>
      <c r="AG156" s="72" t="s">
        <v>776</v>
      </c>
      <c r="AH156" s="88" t="s">
        <v>776</v>
      </c>
      <c r="AT156" s="20" t="e">
        <f t="shared" ref="AT156:AT172" si="17">VLOOKUP(C156,AW:AX,2,FALSE)</f>
        <v>#N/A</v>
      </c>
      <c r="BZ156" s="31">
        <v>157621357.26999998</v>
      </c>
      <c r="CA156" s="31"/>
      <c r="CB156" s="31">
        <f>BZ156-D156</f>
        <v>19397656.279999971</v>
      </c>
      <c r="CD156" s="20" t="e">
        <f t="shared" si="15"/>
        <v>#N/A</v>
      </c>
      <c r="CE156" s="136" t="s">
        <v>171</v>
      </c>
      <c r="CF156" s="136">
        <v>336.14</v>
      </c>
    </row>
    <row r="157" spans="1:84" ht="61.5" x14ac:dyDescent="0.85">
      <c r="A157" s="20">
        <v>1</v>
      </c>
      <c r="B157" s="66">
        <f>SUBTOTAL(103,$A$22:A157)</f>
        <v>134</v>
      </c>
      <c r="C157" s="24" t="s">
        <v>396</v>
      </c>
      <c r="D157" s="31">
        <f t="shared" ref="D157:D195" si="18">E157+F157+G157+H157+I157+J157+L157+N157+P157+R157+T157+U157+V157+W157+X157+Y157+Z157+AA157+AB157+AC157+AD157+AE157</f>
        <v>2661055.0599999996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3">
        <v>0</v>
      </c>
      <c r="L157" s="31">
        <v>0</v>
      </c>
      <c r="M157" s="31">
        <v>1108.98</v>
      </c>
      <c r="N157" s="31">
        <v>2492694.84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11777.98</v>
      </c>
      <c r="AD157" s="31">
        <v>156582.24</v>
      </c>
      <c r="AE157" s="31">
        <v>0</v>
      </c>
      <c r="AF157" s="34">
        <v>2020</v>
      </c>
      <c r="AG157" s="34">
        <v>2020</v>
      </c>
      <c r="AH157" s="35">
        <v>2020</v>
      </c>
      <c r="AT157" s="20" t="e">
        <f t="shared" si="17"/>
        <v>#N/A</v>
      </c>
      <c r="BZ157" s="71"/>
      <c r="CD157" s="20">
        <f t="shared" si="15"/>
        <v>1108.98</v>
      </c>
      <c r="CE157" s="136" t="s">
        <v>1266</v>
      </c>
      <c r="CF157" s="136">
        <v>335</v>
      </c>
    </row>
    <row r="158" spans="1:84" ht="61.5" x14ac:dyDescent="0.85">
      <c r="A158" s="20">
        <v>1</v>
      </c>
      <c r="B158" s="66">
        <f>SUBTOTAL(103,$A$22:A158)</f>
        <v>135</v>
      </c>
      <c r="C158" s="24" t="s">
        <v>397</v>
      </c>
      <c r="D158" s="31">
        <f t="shared" si="18"/>
        <v>3090535.5400000005</v>
      </c>
      <c r="E158" s="31">
        <v>407927.17</v>
      </c>
      <c r="F158" s="31">
        <v>735842.56</v>
      </c>
      <c r="G158" s="31">
        <v>1730218.76</v>
      </c>
      <c r="H158" s="31">
        <v>0</v>
      </c>
      <c r="I158" s="31">
        <v>0</v>
      </c>
      <c r="J158" s="31">
        <v>0</v>
      </c>
      <c r="K158" s="33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f>ROUND((E158+F158+G158+H158+I158+J158)*1.5%,2)</f>
        <v>43109.83</v>
      </c>
      <c r="AD158" s="31">
        <v>173437.22</v>
      </c>
      <c r="AE158" s="31">
        <v>0</v>
      </c>
      <c r="AF158" s="34">
        <v>2020</v>
      </c>
      <c r="AG158" s="34">
        <v>2020</v>
      </c>
      <c r="AH158" s="35">
        <v>2020</v>
      </c>
      <c r="AT158" s="20" t="e">
        <f t="shared" si="17"/>
        <v>#N/A</v>
      </c>
      <c r="BZ158" s="71"/>
      <c r="CD158" s="20" t="e">
        <f t="shared" si="15"/>
        <v>#N/A</v>
      </c>
      <c r="CE158" s="136" t="s">
        <v>1272</v>
      </c>
      <c r="CF158" s="136">
        <v>678.5</v>
      </c>
    </row>
    <row r="159" spans="1:84" ht="61.5" x14ac:dyDescent="0.85">
      <c r="A159" s="20">
        <v>1</v>
      </c>
      <c r="B159" s="66">
        <f>SUBTOTAL(103,$A$22:A159)</f>
        <v>136</v>
      </c>
      <c r="C159" s="24" t="s">
        <v>398</v>
      </c>
      <c r="D159" s="31">
        <f t="shared" si="18"/>
        <v>3235281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3">
        <v>0</v>
      </c>
      <c r="L159" s="31">
        <v>0</v>
      </c>
      <c r="M159" s="31">
        <v>600</v>
      </c>
      <c r="N159" s="31">
        <v>3110660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f>ROUND(N159*1.5%,2)</f>
        <v>46659.9</v>
      </c>
      <c r="AD159" s="31">
        <v>77961.100000000006</v>
      </c>
      <c r="AE159" s="31">
        <v>0</v>
      </c>
      <c r="AF159" s="34">
        <v>2020</v>
      </c>
      <c r="AG159" s="34">
        <v>2020</v>
      </c>
      <c r="AH159" s="35">
        <v>2020</v>
      </c>
      <c r="AT159" s="20" t="e">
        <f t="shared" si="17"/>
        <v>#N/A</v>
      </c>
      <c r="BZ159" s="71"/>
      <c r="CD159" s="20">
        <f t="shared" si="15"/>
        <v>600</v>
      </c>
      <c r="CE159" s="136" t="s">
        <v>1145</v>
      </c>
      <c r="CF159" s="136">
        <v>453.4</v>
      </c>
    </row>
    <row r="160" spans="1:84" ht="61.5" x14ac:dyDescent="0.85">
      <c r="A160" s="20">
        <v>1</v>
      </c>
      <c r="B160" s="66">
        <f>SUBTOTAL(103,$A$22:A160)</f>
        <v>137</v>
      </c>
      <c r="C160" s="24" t="s">
        <v>399</v>
      </c>
      <c r="D160" s="31">
        <f t="shared" si="18"/>
        <v>5318280.9000000004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3">
        <v>0</v>
      </c>
      <c r="L160" s="31">
        <v>0</v>
      </c>
      <c r="M160" s="31">
        <v>1093</v>
      </c>
      <c r="N160" s="30">
        <v>5109413.2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f>ROUND(N160*1.5%,2)</f>
        <v>76641.2</v>
      </c>
      <c r="AD160" s="31">
        <v>132226.5</v>
      </c>
      <c r="AE160" s="31">
        <v>0</v>
      </c>
      <c r="AF160" s="34">
        <v>2020</v>
      </c>
      <c r="AG160" s="34">
        <v>2020</v>
      </c>
      <c r="AH160" s="35">
        <v>2020</v>
      </c>
      <c r="AT160" s="20" t="e">
        <f t="shared" si="17"/>
        <v>#N/A</v>
      </c>
      <c r="BZ160" s="71"/>
      <c r="CD160" s="20" t="e">
        <f t="shared" si="15"/>
        <v>#N/A</v>
      </c>
      <c r="CE160" s="136" t="s">
        <v>1280</v>
      </c>
      <c r="CF160" s="136">
        <v>511.8</v>
      </c>
    </row>
    <row r="161" spans="1:84" ht="61.5" x14ac:dyDescent="0.85">
      <c r="A161" s="20">
        <v>1</v>
      </c>
      <c r="B161" s="66">
        <f>SUBTOTAL(103,$A$22:A161)</f>
        <v>138</v>
      </c>
      <c r="C161" s="24" t="s">
        <v>400</v>
      </c>
      <c r="D161" s="31">
        <f t="shared" si="18"/>
        <v>4506717.16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3">
        <v>0</v>
      </c>
      <c r="L161" s="31">
        <v>0</v>
      </c>
      <c r="M161" s="31">
        <v>976</v>
      </c>
      <c r="N161" s="31">
        <v>4308509.83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f>ROUND(N161*1.5%,2)</f>
        <v>64627.65</v>
      </c>
      <c r="AD161" s="31">
        <v>133579.68</v>
      </c>
      <c r="AE161" s="31">
        <v>0</v>
      </c>
      <c r="AF161" s="34">
        <v>2020</v>
      </c>
      <c r="AG161" s="34">
        <v>2020</v>
      </c>
      <c r="AH161" s="35">
        <v>2020</v>
      </c>
      <c r="AT161" s="20" t="e">
        <f t="shared" si="17"/>
        <v>#N/A</v>
      </c>
      <c r="BZ161" s="71"/>
      <c r="CD161" s="20" t="e">
        <f t="shared" si="15"/>
        <v>#N/A</v>
      </c>
      <c r="CE161" s="136" t="s">
        <v>1155</v>
      </c>
      <c r="CF161" s="136">
        <v>556.6</v>
      </c>
    </row>
    <row r="162" spans="1:84" ht="61.5" x14ac:dyDescent="0.85">
      <c r="A162" s="20">
        <v>1</v>
      </c>
      <c r="B162" s="66">
        <f>SUBTOTAL(103,$A$22:A162)</f>
        <v>139</v>
      </c>
      <c r="C162" s="24" t="s">
        <v>401</v>
      </c>
      <c r="D162" s="31">
        <f t="shared" si="18"/>
        <v>4873547.67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74">
        <v>3</v>
      </c>
      <c r="L162" s="31">
        <v>4873547.67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1">
        <v>0</v>
      </c>
      <c r="AE162" s="31">
        <v>0</v>
      </c>
      <c r="AF162" s="34" t="s">
        <v>274</v>
      </c>
      <c r="AG162" s="34">
        <v>2020</v>
      </c>
      <c r="AH162" s="35" t="s">
        <v>274</v>
      </c>
      <c r="AT162" s="20">
        <f t="shared" si="17"/>
        <v>1</v>
      </c>
      <c r="BZ162" s="71"/>
      <c r="CD162" s="20" t="e">
        <f t="shared" si="15"/>
        <v>#N/A</v>
      </c>
      <c r="CE162" s="136" t="s">
        <v>1590</v>
      </c>
      <c r="CF162" s="136">
        <v>466.12</v>
      </c>
    </row>
    <row r="163" spans="1:84" ht="61.5" x14ac:dyDescent="0.85">
      <c r="A163" s="20">
        <v>1</v>
      </c>
      <c r="B163" s="66">
        <f>SUBTOTAL(103,$A$22:A163)</f>
        <v>140</v>
      </c>
      <c r="C163" s="24" t="s">
        <v>402</v>
      </c>
      <c r="D163" s="31">
        <f t="shared" si="18"/>
        <v>2248715.0900000003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3">
        <v>0</v>
      </c>
      <c r="L163" s="31">
        <v>0</v>
      </c>
      <c r="M163" s="31">
        <v>443.8</v>
      </c>
      <c r="N163" s="31">
        <v>2215482.85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f>ROUND(N163*1.5%,2)</f>
        <v>33232.239999999998</v>
      </c>
      <c r="AD163" s="31">
        <v>0</v>
      </c>
      <c r="AE163" s="31">
        <v>0</v>
      </c>
      <c r="AF163" s="34" t="s">
        <v>274</v>
      </c>
      <c r="AG163" s="34">
        <v>2020</v>
      </c>
      <c r="AH163" s="35">
        <v>2020</v>
      </c>
      <c r="AT163" s="20" t="e">
        <f t="shared" si="17"/>
        <v>#N/A</v>
      </c>
      <c r="BZ163" s="71"/>
      <c r="CD163" s="20">
        <f t="shared" si="15"/>
        <v>443.8</v>
      </c>
      <c r="CE163" s="136" t="s">
        <v>1586</v>
      </c>
      <c r="CF163" s="136">
        <v>859</v>
      </c>
    </row>
    <row r="164" spans="1:84" ht="61.5" x14ac:dyDescent="0.85">
      <c r="A164" s="20">
        <v>1</v>
      </c>
      <c r="B164" s="66">
        <f>SUBTOTAL(103,$A$22:A164)</f>
        <v>141</v>
      </c>
      <c r="C164" s="24" t="s">
        <v>403</v>
      </c>
      <c r="D164" s="31">
        <f t="shared" si="18"/>
        <v>4885396.4400000004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3">
        <v>3</v>
      </c>
      <c r="L164" s="31">
        <v>4885396.4400000004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4" t="s">
        <v>274</v>
      </c>
      <c r="AG164" s="34">
        <v>2020</v>
      </c>
      <c r="AH164" s="35" t="s">
        <v>274</v>
      </c>
      <c r="AT164" s="20" t="e">
        <f t="shared" si="17"/>
        <v>#N/A</v>
      </c>
      <c r="BZ164" s="71"/>
      <c r="CD164" s="20" t="e">
        <f t="shared" si="15"/>
        <v>#N/A</v>
      </c>
      <c r="CE164" s="136" t="s">
        <v>1585</v>
      </c>
      <c r="CF164" s="136">
        <v>1028.5</v>
      </c>
    </row>
    <row r="165" spans="1:84" ht="61.5" x14ac:dyDescent="0.85">
      <c r="A165" s="20">
        <v>1</v>
      </c>
      <c r="B165" s="66">
        <f>SUBTOTAL(103,$A$22:A165)</f>
        <v>142</v>
      </c>
      <c r="C165" s="24" t="s">
        <v>404</v>
      </c>
      <c r="D165" s="31">
        <f t="shared" si="18"/>
        <v>7385099.7699999996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3">
        <v>0</v>
      </c>
      <c r="L165" s="31">
        <v>0</v>
      </c>
      <c r="M165" s="31">
        <v>1580</v>
      </c>
      <c r="N165" s="31">
        <v>7118241.96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f>ROUND(N165*1.5%,2)</f>
        <v>106773.63</v>
      </c>
      <c r="AD165" s="31">
        <v>160084.18</v>
      </c>
      <c r="AE165" s="31">
        <v>0</v>
      </c>
      <c r="AF165" s="34">
        <v>2020</v>
      </c>
      <c r="AG165" s="34">
        <v>2020</v>
      </c>
      <c r="AH165" s="35">
        <v>2020</v>
      </c>
      <c r="AT165" s="20" t="e">
        <f t="shared" si="17"/>
        <v>#N/A</v>
      </c>
      <c r="BZ165" s="71"/>
      <c r="CD165" s="20" t="e">
        <f t="shared" si="15"/>
        <v>#N/A</v>
      </c>
      <c r="CE165" s="136" t="s">
        <v>396</v>
      </c>
      <c r="CF165" s="136">
        <v>1108.98</v>
      </c>
    </row>
    <row r="166" spans="1:84" ht="61.5" x14ac:dyDescent="0.85">
      <c r="A166" s="20">
        <v>1</v>
      </c>
      <c r="B166" s="66">
        <f>SUBTOTAL(103,$A$22:A166)</f>
        <v>143</v>
      </c>
      <c r="C166" s="24" t="s">
        <v>405</v>
      </c>
      <c r="D166" s="31">
        <f t="shared" si="18"/>
        <v>5226218.99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3">
        <v>0</v>
      </c>
      <c r="L166" s="31">
        <v>0</v>
      </c>
      <c r="M166" s="31">
        <v>1120</v>
      </c>
      <c r="N166" s="31">
        <v>4994211.8000000007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f>ROUND(N166*1.5%,2)</f>
        <v>74913.179999999993</v>
      </c>
      <c r="AD166" s="31">
        <v>157094.01</v>
      </c>
      <c r="AE166" s="31">
        <v>0</v>
      </c>
      <c r="AF166" s="34">
        <v>2020</v>
      </c>
      <c r="AG166" s="34">
        <v>2020</v>
      </c>
      <c r="AH166" s="35">
        <v>2020</v>
      </c>
      <c r="AT166" s="20" t="e">
        <f t="shared" si="17"/>
        <v>#N/A</v>
      </c>
      <c r="BZ166" s="71"/>
      <c r="CD166" s="20" t="e">
        <f t="shared" si="15"/>
        <v>#N/A</v>
      </c>
      <c r="CE166" s="136" t="s">
        <v>398</v>
      </c>
      <c r="CF166" s="136">
        <v>600</v>
      </c>
    </row>
    <row r="167" spans="1:84" ht="61.5" x14ac:dyDescent="0.85">
      <c r="A167" s="20">
        <v>1</v>
      </c>
      <c r="B167" s="66">
        <f>SUBTOTAL(103,$A$22:A167)</f>
        <v>144</v>
      </c>
      <c r="C167" s="24" t="s">
        <v>406</v>
      </c>
      <c r="D167" s="31">
        <f t="shared" si="18"/>
        <v>2222394.27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3">
        <v>0</v>
      </c>
      <c r="L167" s="31">
        <v>0</v>
      </c>
      <c r="M167" s="31">
        <v>473</v>
      </c>
      <c r="N167" s="31">
        <v>2189551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f>ROUND(N167*1.5%,2)</f>
        <v>32843.269999999997</v>
      </c>
      <c r="AD167" s="31">
        <v>0</v>
      </c>
      <c r="AE167" s="31">
        <v>0</v>
      </c>
      <c r="AF167" s="34" t="s">
        <v>274</v>
      </c>
      <c r="AG167" s="34">
        <v>2020</v>
      </c>
      <c r="AH167" s="35">
        <v>2020</v>
      </c>
      <c r="AT167" s="20" t="e">
        <f t="shared" si="17"/>
        <v>#N/A</v>
      </c>
      <c r="BZ167" s="71"/>
      <c r="CD167" s="20">
        <f t="shared" si="15"/>
        <v>473</v>
      </c>
      <c r="CE167" s="136" t="s">
        <v>402</v>
      </c>
      <c r="CF167" s="136">
        <v>443.8</v>
      </c>
    </row>
    <row r="168" spans="1:84" ht="61.5" x14ac:dyDescent="0.85">
      <c r="A168" s="20">
        <v>1</v>
      </c>
      <c r="B168" s="66">
        <f>SUBTOTAL(103,$A$22:A168)</f>
        <v>145</v>
      </c>
      <c r="C168" s="24" t="s">
        <v>407</v>
      </c>
      <c r="D168" s="31">
        <f t="shared" si="18"/>
        <v>2897372.4000000004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3">
        <v>0</v>
      </c>
      <c r="L168" s="31">
        <v>0</v>
      </c>
      <c r="M168" s="31">
        <v>550</v>
      </c>
      <c r="N168" s="31">
        <v>2777462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f>ROUND(N168*1.5%,2)</f>
        <v>41661.93</v>
      </c>
      <c r="AD168" s="31">
        <v>78248.47</v>
      </c>
      <c r="AE168" s="31">
        <v>0</v>
      </c>
      <c r="AF168" s="34">
        <v>2020</v>
      </c>
      <c r="AG168" s="34">
        <v>2020</v>
      </c>
      <c r="AH168" s="35">
        <v>2020</v>
      </c>
      <c r="AT168" s="20" t="e">
        <f t="shared" si="17"/>
        <v>#N/A</v>
      </c>
      <c r="BZ168" s="71"/>
      <c r="CD168" s="20">
        <f t="shared" si="15"/>
        <v>550</v>
      </c>
      <c r="CE168" s="136" t="s">
        <v>406</v>
      </c>
      <c r="CF168" s="136">
        <v>473</v>
      </c>
    </row>
    <row r="169" spans="1:84" ht="61.5" x14ac:dyDescent="0.85">
      <c r="A169" s="20">
        <v>1</v>
      </c>
      <c r="B169" s="66">
        <f>SUBTOTAL(103,$A$22:A169)</f>
        <v>146</v>
      </c>
      <c r="C169" s="24" t="s">
        <v>408</v>
      </c>
      <c r="D169" s="31">
        <f t="shared" si="18"/>
        <v>3951540.32</v>
      </c>
      <c r="E169" s="31">
        <v>0</v>
      </c>
      <c r="F169" s="31">
        <v>0</v>
      </c>
      <c r="G169" s="31">
        <v>3809166.55</v>
      </c>
      <c r="H169" s="31">
        <v>0</v>
      </c>
      <c r="I169" s="31">
        <v>0</v>
      </c>
      <c r="J169" s="31">
        <v>0</v>
      </c>
      <c r="K169" s="33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f>ROUND((E169+F169+G169+H169+I169+J169)*1.5%,2)</f>
        <v>57137.5</v>
      </c>
      <c r="AD169" s="31">
        <v>85236.27</v>
      </c>
      <c r="AE169" s="31">
        <v>0</v>
      </c>
      <c r="AF169" s="34">
        <v>2020</v>
      </c>
      <c r="AG169" s="34">
        <v>2020</v>
      </c>
      <c r="AH169" s="35">
        <v>2020</v>
      </c>
      <c r="AT169" s="20" t="e">
        <f t="shared" si="17"/>
        <v>#N/A</v>
      </c>
      <c r="BZ169" s="71"/>
      <c r="CD169" s="20" t="e">
        <f t="shared" si="15"/>
        <v>#N/A</v>
      </c>
      <c r="CE169" s="136" t="s">
        <v>407</v>
      </c>
      <c r="CF169" s="136">
        <v>550</v>
      </c>
    </row>
    <row r="170" spans="1:84" ht="61.5" x14ac:dyDescent="0.85">
      <c r="A170" s="20">
        <v>1</v>
      </c>
      <c r="B170" s="66">
        <f>SUBTOTAL(103,$A$22:A170)</f>
        <v>147</v>
      </c>
      <c r="C170" s="24" t="s">
        <v>202</v>
      </c>
      <c r="D170" s="31">
        <f t="shared" si="18"/>
        <v>2793603.33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3">
        <v>0</v>
      </c>
      <c r="L170" s="31">
        <v>0</v>
      </c>
      <c r="M170" s="31">
        <v>1190.4000000000001</v>
      </c>
      <c r="N170" s="31">
        <v>2598303.89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f>ROUND(N170*1.5%,2)</f>
        <v>38974.559999999998</v>
      </c>
      <c r="AD170" s="31">
        <v>156324.88</v>
      </c>
      <c r="AE170" s="31">
        <v>0</v>
      </c>
      <c r="AF170" s="34">
        <v>2020</v>
      </c>
      <c r="AG170" s="34">
        <v>2020</v>
      </c>
      <c r="AH170" s="35">
        <v>2020</v>
      </c>
      <c r="AT170" s="20" t="e">
        <f t="shared" si="17"/>
        <v>#N/A</v>
      </c>
      <c r="BZ170" s="71"/>
      <c r="CD170" s="20" t="e">
        <f t="shared" si="15"/>
        <v>#N/A</v>
      </c>
      <c r="CE170" s="136" t="s">
        <v>409</v>
      </c>
      <c r="CF170" s="136">
        <v>342</v>
      </c>
    </row>
    <row r="171" spans="1:84" ht="61.5" x14ac:dyDescent="0.85">
      <c r="A171" s="20">
        <v>1</v>
      </c>
      <c r="B171" s="66">
        <f>SUBTOTAL(103,$A$22:A171)</f>
        <v>148</v>
      </c>
      <c r="C171" s="24" t="s">
        <v>409</v>
      </c>
      <c r="D171" s="31">
        <f t="shared" si="18"/>
        <v>1855795.01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3">
        <v>0</v>
      </c>
      <c r="L171" s="31">
        <v>0</v>
      </c>
      <c r="M171" s="31">
        <v>342</v>
      </c>
      <c r="N171" s="31">
        <v>1828369.47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f>ROUND(N171*1.5%,2)</f>
        <v>27425.54</v>
      </c>
      <c r="AD171" s="31">
        <v>0</v>
      </c>
      <c r="AE171" s="31">
        <v>0</v>
      </c>
      <c r="AF171" s="34" t="s">
        <v>274</v>
      </c>
      <c r="AG171" s="34">
        <v>2020</v>
      </c>
      <c r="AH171" s="35">
        <v>2020</v>
      </c>
      <c r="AT171" s="20" t="e">
        <f t="shared" si="17"/>
        <v>#N/A</v>
      </c>
      <c r="BZ171" s="71"/>
      <c r="CD171" s="20">
        <f t="shared" si="15"/>
        <v>342</v>
      </c>
      <c r="CE171" s="136" t="s">
        <v>1179</v>
      </c>
      <c r="CF171" s="136">
        <v>331</v>
      </c>
    </row>
    <row r="172" spans="1:84" ht="61.5" x14ac:dyDescent="0.85">
      <c r="A172" s="20">
        <v>1</v>
      </c>
      <c r="B172" s="66">
        <f>SUBTOTAL(103,$A$22:A172)</f>
        <v>149</v>
      </c>
      <c r="C172" s="24" t="s">
        <v>410</v>
      </c>
      <c r="D172" s="31">
        <f t="shared" si="18"/>
        <v>9454848.4199999999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3">
        <v>0</v>
      </c>
      <c r="L172" s="31">
        <v>0</v>
      </c>
      <c r="M172" s="31">
        <v>2022</v>
      </c>
      <c r="N172" s="31">
        <v>9159157.9000000004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f>ROUND(N172*1.5%,2)</f>
        <v>137387.37</v>
      </c>
      <c r="AD172" s="31">
        <v>158303.15</v>
      </c>
      <c r="AE172" s="31">
        <v>0</v>
      </c>
      <c r="AF172" s="34">
        <v>2020</v>
      </c>
      <c r="AG172" s="34">
        <v>2020</v>
      </c>
      <c r="AH172" s="35">
        <v>2020</v>
      </c>
      <c r="AT172" s="20" t="e">
        <f t="shared" si="17"/>
        <v>#N/A</v>
      </c>
      <c r="BZ172" s="71"/>
      <c r="CD172" s="20" t="e">
        <f t="shared" si="15"/>
        <v>#N/A</v>
      </c>
      <c r="CE172" s="136" t="s">
        <v>1595</v>
      </c>
      <c r="CF172" s="136">
        <v>792</v>
      </c>
    </row>
    <row r="173" spans="1:84" ht="61.5" x14ac:dyDescent="0.85">
      <c r="A173" s="20">
        <v>1</v>
      </c>
      <c r="B173" s="66">
        <f>SUBTOTAL(103,$A$22:A173)</f>
        <v>150</v>
      </c>
      <c r="C173" s="24" t="s">
        <v>1178</v>
      </c>
      <c r="D173" s="31">
        <f t="shared" si="18"/>
        <v>2217294.33</v>
      </c>
      <c r="E173" s="31">
        <v>179745.74</v>
      </c>
      <c r="F173" s="31">
        <v>0</v>
      </c>
      <c r="G173" s="31">
        <v>1488599.05</v>
      </c>
      <c r="H173" s="31">
        <v>253223.24</v>
      </c>
      <c r="I173" s="31">
        <v>262958.40000000002</v>
      </c>
      <c r="J173" s="31">
        <v>0</v>
      </c>
      <c r="K173" s="33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f>ROUND((E173+F173+G173+H173+I173+J173)*1.5%,2)</f>
        <v>32767.9</v>
      </c>
      <c r="AD173" s="31">
        <v>0</v>
      </c>
      <c r="AE173" s="31">
        <v>0</v>
      </c>
      <c r="AF173" s="34" t="s">
        <v>274</v>
      </c>
      <c r="AG173" s="34">
        <v>2020</v>
      </c>
      <c r="AH173" s="35">
        <v>2020</v>
      </c>
      <c r="BZ173" s="71"/>
      <c r="CD173" s="20" t="e">
        <f t="shared" si="15"/>
        <v>#N/A</v>
      </c>
      <c r="CE173" s="136" t="s">
        <v>1593</v>
      </c>
      <c r="CF173" s="136">
        <v>592.07000000000005</v>
      </c>
    </row>
    <row r="174" spans="1:84" ht="61.5" x14ac:dyDescent="0.85">
      <c r="A174" s="20">
        <v>1</v>
      </c>
      <c r="B174" s="66">
        <f>SUBTOTAL(103,$A$22:A174)</f>
        <v>151</v>
      </c>
      <c r="C174" s="24" t="s">
        <v>1179</v>
      </c>
      <c r="D174" s="31">
        <f t="shared" si="18"/>
        <v>1557950.91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3">
        <v>0</v>
      </c>
      <c r="L174" s="31">
        <v>0</v>
      </c>
      <c r="M174" s="31">
        <v>331</v>
      </c>
      <c r="N174" s="31">
        <v>1549352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8598.91</v>
      </c>
      <c r="AD174" s="31">
        <v>0</v>
      </c>
      <c r="AE174" s="31">
        <v>0</v>
      </c>
      <c r="AF174" s="34" t="s">
        <v>274</v>
      </c>
      <c r="AG174" s="34">
        <v>2020</v>
      </c>
      <c r="AH174" s="35">
        <v>2020</v>
      </c>
      <c r="BZ174" s="71"/>
      <c r="CD174" s="20">
        <f t="shared" si="15"/>
        <v>331</v>
      </c>
      <c r="CE174" s="136" t="s">
        <v>0</v>
      </c>
      <c r="CF174" s="136">
        <v>618.1</v>
      </c>
    </row>
    <row r="175" spans="1:84" ht="61.5" x14ac:dyDescent="0.85">
      <c r="A175" s="20">
        <v>1</v>
      </c>
      <c r="B175" s="66">
        <f>SUBTOTAL(103,$A$22:A175)</f>
        <v>152</v>
      </c>
      <c r="C175" s="24" t="s">
        <v>1181</v>
      </c>
      <c r="D175" s="31">
        <f t="shared" si="18"/>
        <v>2712861.94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3">
        <v>2</v>
      </c>
      <c r="L175" s="31">
        <v>2712861.94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4" t="s">
        <v>274</v>
      </c>
      <c r="AG175" s="34">
        <v>2020</v>
      </c>
      <c r="AH175" s="35" t="s">
        <v>274</v>
      </c>
      <c r="BZ175" s="71"/>
      <c r="CD175" s="20" t="e">
        <f t="shared" si="15"/>
        <v>#N/A</v>
      </c>
      <c r="CE175" s="136" t="s">
        <v>1264</v>
      </c>
      <c r="CF175" s="136">
        <v>807.4</v>
      </c>
    </row>
    <row r="176" spans="1:84" ht="61.5" x14ac:dyDescent="0.85">
      <c r="A176" s="20">
        <v>1</v>
      </c>
      <c r="B176" s="66">
        <f>SUBTOTAL(103,$A$22:A176)</f>
        <v>153</v>
      </c>
      <c r="C176" s="24" t="s">
        <v>1182</v>
      </c>
      <c r="D176" s="31">
        <f t="shared" si="18"/>
        <v>213615.18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3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19.07</v>
      </c>
      <c r="T176" s="31">
        <v>210458.31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f>ROUND(T176*1.5%,2)</f>
        <v>3156.87</v>
      </c>
      <c r="AD176" s="31">
        <v>0</v>
      </c>
      <c r="AE176" s="31">
        <v>0</v>
      </c>
      <c r="AF176" s="34" t="s">
        <v>274</v>
      </c>
      <c r="AG176" s="34">
        <v>2020</v>
      </c>
      <c r="AH176" s="35">
        <v>2020</v>
      </c>
      <c r="BZ176" s="71"/>
      <c r="CD176" s="20" t="e">
        <f t="shared" si="15"/>
        <v>#N/A</v>
      </c>
      <c r="CE176" s="136" t="s">
        <v>1597</v>
      </c>
      <c r="CF176" s="136">
        <v>837.3</v>
      </c>
    </row>
    <row r="177" spans="1:84" ht="61.5" x14ac:dyDescent="0.85">
      <c r="A177" s="20">
        <v>1</v>
      </c>
      <c r="B177" s="66">
        <f>SUBTOTAL(103,$A$22:A177)</f>
        <v>154</v>
      </c>
      <c r="C177" s="24" t="s">
        <v>1183</v>
      </c>
      <c r="D177" s="31">
        <f t="shared" si="18"/>
        <v>2878164.01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3">
        <v>0</v>
      </c>
      <c r="L177" s="31">
        <v>0</v>
      </c>
      <c r="M177" s="31">
        <v>0</v>
      </c>
      <c r="N177" s="31">
        <v>0</v>
      </c>
      <c r="O177" s="31">
        <v>725.5</v>
      </c>
      <c r="P177" s="31">
        <v>2835629.57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f>ROUND(P177*1.5%,2)</f>
        <v>42534.44</v>
      </c>
      <c r="AD177" s="31">
        <v>0</v>
      </c>
      <c r="AE177" s="31">
        <v>0</v>
      </c>
      <c r="AF177" s="34" t="s">
        <v>274</v>
      </c>
      <c r="AG177" s="34">
        <v>2020</v>
      </c>
      <c r="AH177" s="35">
        <v>2020</v>
      </c>
      <c r="BZ177" s="71"/>
      <c r="CD177" s="20" t="e">
        <f t="shared" si="15"/>
        <v>#N/A</v>
      </c>
      <c r="CE177" s="136" t="s">
        <v>145</v>
      </c>
      <c r="CF177" s="136">
        <v>317.8</v>
      </c>
    </row>
    <row r="178" spans="1:84" ht="61.5" x14ac:dyDescent="0.85">
      <c r="A178" s="20">
        <v>1</v>
      </c>
      <c r="B178" s="66">
        <f>SUBTOTAL(103,$A$22:A178)</f>
        <v>155</v>
      </c>
      <c r="C178" s="24" t="s">
        <v>1184</v>
      </c>
      <c r="D178" s="31">
        <f t="shared" si="18"/>
        <v>2712861.94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3">
        <v>2</v>
      </c>
      <c r="L178" s="31">
        <v>2712861.94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4" t="s">
        <v>274</v>
      </c>
      <c r="AG178" s="34">
        <v>2020</v>
      </c>
      <c r="AH178" s="35" t="s">
        <v>274</v>
      </c>
      <c r="BZ178" s="71"/>
      <c r="CD178" s="20" t="e">
        <f t="shared" si="15"/>
        <v>#N/A</v>
      </c>
      <c r="CE178" s="136" t="s">
        <v>1287</v>
      </c>
      <c r="CF178" s="136">
        <v>835.43</v>
      </c>
    </row>
    <row r="179" spans="1:84" ht="61.5" x14ac:dyDescent="0.85">
      <c r="A179" s="20">
        <v>1</v>
      </c>
      <c r="B179" s="66">
        <f>SUBTOTAL(103,$A$22:A179)</f>
        <v>156</v>
      </c>
      <c r="C179" s="24" t="s">
        <v>1185</v>
      </c>
      <c r="D179" s="31">
        <f t="shared" si="18"/>
        <v>2771146.97</v>
      </c>
      <c r="E179" s="31">
        <v>0</v>
      </c>
      <c r="F179" s="31">
        <v>0</v>
      </c>
      <c r="G179" s="206">
        <v>2730194.06</v>
      </c>
      <c r="H179" s="31">
        <v>0</v>
      </c>
      <c r="I179" s="31">
        <v>0</v>
      </c>
      <c r="J179" s="31">
        <v>0</v>
      </c>
      <c r="K179" s="33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f>ROUND((E179+F179+G179+H179+I179+J179)*1.5%,2)</f>
        <v>40952.910000000003</v>
      </c>
      <c r="AD179" s="31">
        <v>0</v>
      </c>
      <c r="AE179" s="31">
        <v>0</v>
      </c>
      <c r="AF179" s="34" t="s">
        <v>274</v>
      </c>
      <c r="AG179" s="34">
        <v>2020</v>
      </c>
      <c r="AH179" s="35">
        <v>2020</v>
      </c>
      <c r="BZ179" s="71"/>
      <c r="CD179" s="20" t="e">
        <f t="shared" si="15"/>
        <v>#N/A</v>
      </c>
      <c r="CE179" s="136" t="s">
        <v>92</v>
      </c>
      <c r="CF179" s="136">
        <v>613.20000000000005</v>
      </c>
    </row>
    <row r="180" spans="1:84" ht="61.5" x14ac:dyDescent="0.85">
      <c r="A180" s="20">
        <v>1</v>
      </c>
      <c r="B180" s="66">
        <f>SUBTOTAL(103,$A$22:A180)</f>
        <v>157</v>
      </c>
      <c r="C180" s="24" t="s">
        <v>1186</v>
      </c>
      <c r="D180" s="31">
        <f t="shared" si="18"/>
        <v>2438759.5300000003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3">
        <v>0</v>
      </c>
      <c r="L180" s="31">
        <v>0</v>
      </c>
      <c r="M180" s="31">
        <v>477</v>
      </c>
      <c r="N180" s="31">
        <v>2335762.17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f>ROUND(N180*1.5%,2)</f>
        <v>35036.43</v>
      </c>
      <c r="AD180" s="31">
        <v>67960.929999999993</v>
      </c>
      <c r="AE180" s="31">
        <v>0</v>
      </c>
      <c r="AF180" s="34">
        <v>2020</v>
      </c>
      <c r="AG180" s="34">
        <v>2020</v>
      </c>
      <c r="AH180" s="35">
        <v>2020</v>
      </c>
      <c r="BZ180" s="71"/>
      <c r="CD180" s="20" t="e">
        <f t="shared" si="15"/>
        <v>#N/A</v>
      </c>
      <c r="CE180" s="136" t="s">
        <v>461</v>
      </c>
      <c r="CF180" s="136">
        <v>567.62</v>
      </c>
    </row>
    <row r="181" spans="1:84" ht="61.5" x14ac:dyDescent="0.85">
      <c r="A181" s="20">
        <v>1</v>
      </c>
      <c r="B181" s="66">
        <f>SUBTOTAL(103,$A$22:A181)</f>
        <v>158</v>
      </c>
      <c r="C181" s="24" t="s">
        <v>1187</v>
      </c>
      <c r="D181" s="31">
        <f t="shared" si="18"/>
        <v>464475.87</v>
      </c>
      <c r="E181" s="31">
        <v>0</v>
      </c>
      <c r="F181" s="31">
        <v>0</v>
      </c>
      <c r="G181" s="31">
        <v>0</v>
      </c>
      <c r="H181" s="31">
        <v>0</v>
      </c>
      <c r="I181" s="31">
        <v>457611.69</v>
      </c>
      <c r="J181" s="31">
        <v>0</v>
      </c>
      <c r="K181" s="33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f>ROUND((E181+F181+G181+H181+I181+J181)*1.5%,2)</f>
        <v>6864.18</v>
      </c>
      <c r="AD181" s="31">
        <v>0</v>
      </c>
      <c r="AE181" s="31">
        <v>0</v>
      </c>
      <c r="AF181" s="34" t="s">
        <v>274</v>
      </c>
      <c r="AG181" s="34">
        <v>2020</v>
      </c>
      <c r="AH181" s="35">
        <v>2020</v>
      </c>
      <c r="BZ181" s="71"/>
      <c r="CD181" s="20" t="e">
        <f t="shared" si="15"/>
        <v>#N/A</v>
      </c>
      <c r="CE181" s="136" t="s">
        <v>463</v>
      </c>
      <c r="CF181" s="136">
        <v>556.79999999999995</v>
      </c>
    </row>
    <row r="182" spans="1:84" ht="61.5" x14ac:dyDescent="0.85">
      <c r="A182" s="20">
        <v>1</v>
      </c>
      <c r="B182" s="66">
        <f>SUBTOTAL(103,$A$22:A182)</f>
        <v>159</v>
      </c>
      <c r="C182" s="24" t="s">
        <v>1188</v>
      </c>
      <c r="D182" s="31">
        <f t="shared" si="18"/>
        <v>198184.86</v>
      </c>
      <c r="E182" s="31">
        <v>0</v>
      </c>
      <c r="F182" s="31">
        <v>0</v>
      </c>
      <c r="G182" s="31">
        <v>0</v>
      </c>
      <c r="H182" s="31">
        <v>0</v>
      </c>
      <c r="I182" s="31">
        <v>195256.02</v>
      </c>
      <c r="J182" s="31">
        <v>0</v>
      </c>
      <c r="K182" s="33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f>ROUND((E182+F182+G182+H182+I182+J182)*1.5%,2)</f>
        <v>2928.84</v>
      </c>
      <c r="AD182" s="31">
        <v>0</v>
      </c>
      <c r="AE182" s="31">
        <v>0</v>
      </c>
      <c r="AF182" s="34" t="s">
        <v>274</v>
      </c>
      <c r="AG182" s="34">
        <v>2020</v>
      </c>
      <c r="AH182" s="35">
        <v>2020</v>
      </c>
      <c r="BZ182" s="71"/>
      <c r="CD182" s="20" t="e">
        <f t="shared" si="15"/>
        <v>#N/A</v>
      </c>
      <c r="CE182" s="136" t="s">
        <v>698</v>
      </c>
      <c r="CF182" s="136">
        <v>243.96</v>
      </c>
    </row>
    <row r="183" spans="1:84" ht="61.5" x14ac:dyDescent="0.85">
      <c r="A183" s="20">
        <v>1</v>
      </c>
      <c r="B183" s="66">
        <f>SUBTOTAL(103,$A$22:A183)</f>
        <v>160</v>
      </c>
      <c r="C183" s="24" t="s">
        <v>1189</v>
      </c>
      <c r="D183" s="31">
        <f t="shared" si="18"/>
        <v>1640571.49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3">
        <v>1</v>
      </c>
      <c r="L183" s="31">
        <v>1640571.49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4" t="s">
        <v>274</v>
      </c>
      <c r="AG183" s="34">
        <v>2020</v>
      </c>
      <c r="AH183" s="35" t="s">
        <v>274</v>
      </c>
      <c r="BZ183" s="71"/>
      <c r="CD183" s="20" t="e">
        <f t="shared" si="15"/>
        <v>#N/A</v>
      </c>
      <c r="CE183" s="136" t="s">
        <v>1312</v>
      </c>
      <c r="CF183" s="136">
        <v>958</v>
      </c>
    </row>
    <row r="184" spans="1:84" ht="61.5" x14ac:dyDescent="0.85">
      <c r="A184" s="20">
        <v>1</v>
      </c>
      <c r="B184" s="66">
        <f>SUBTOTAL(103,$A$22:A184)</f>
        <v>161</v>
      </c>
      <c r="C184" s="24" t="s">
        <v>1190</v>
      </c>
      <c r="D184" s="31">
        <f t="shared" si="18"/>
        <v>1784450.96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3">
        <v>1</v>
      </c>
      <c r="L184" s="31">
        <v>1784450.96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4" t="s">
        <v>274</v>
      </c>
      <c r="AG184" s="34">
        <v>2020</v>
      </c>
      <c r="AH184" s="35" t="s">
        <v>274</v>
      </c>
      <c r="BZ184" s="71"/>
      <c r="CD184" s="20" t="e">
        <f t="shared" si="15"/>
        <v>#N/A</v>
      </c>
      <c r="CE184" s="136" t="s">
        <v>189</v>
      </c>
      <c r="CF184" s="136">
        <v>255.2</v>
      </c>
    </row>
    <row r="185" spans="1:84" ht="61.5" x14ac:dyDescent="0.85">
      <c r="A185" s="20">
        <v>1</v>
      </c>
      <c r="B185" s="66">
        <f>SUBTOTAL(103,$A$22:A185)</f>
        <v>162</v>
      </c>
      <c r="C185" s="24" t="s">
        <v>1191</v>
      </c>
      <c r="D185" s="31">
        <f t="shared" si="18"/>
        <v>6364982.3099999996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3">
        <v>4</v>
      </c>
      <c r="L185" s="31">
        <v>6364982.3099999996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4" t="s">
        <v>274</v>
      </c>
      <c r="AG185" s="34">
        <v>2020</v>
      </c>
      <c r="AH185" s="35" t="s">
        <v>274</v>
      </c>
      <c r="BZ185" s="71"/>
      <c r="CD185" s="20" t="e">
        <f t="shared" si="15"/>
        <v>#N/A</v>
      </c>
      <c r="CE185" s="136" t="s">
        <v>136</v>
      </c>
      <c r="CF185" s="136">
        <v>1229.9000000000001</v>
      </c>
    </row>
    <row r="186" spans="1:84" ht="61.5" x14ac:dyDescent="0.85">
      <c r="A186" s="20">
        <v>1</v>
      </c>
      <c r="B186" s="66">
        <f>SUBTOTAL(103,$A$22:A186)</f>
        <v>163</v>
      </c>
      <c r="C186" s="24" t="s">
        <v>1307</v>
      </c>
      <c r="D186" s="31">
        <f t="shared" si="18"/>
        <v>2620013.62</v>
      </c>
      <c r="E186" s="31">
        <v>0</v>
      </c>
      <c r="F186" s="31">
        <v>0</v>
      </c>
      <c r="G186" s="31">
        <v>2581294.21</v>
      </c>
      <c r="H186" s="31">
        <v>0</v>
      </c>
      <c r="I186" s="31">
        <v>0</v>
      </c>
      <c r="J186" s="31">
        <v>0</v>
      </c>
      <c r="K186" s="33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f>ROUND((E186+F186+G186+H186+I186+J186)*1.5%,2)</f>
        <v>38719.410000000003</v>
      </c>
      <c r="AD186" s="31">
        <v>0</v>
      </c>
      <c r="AE186" s="31">
        <v>0</v>
      </c>
      <c r="AF186" s="34" t="s">
        <v>274</v>
      </c>
      <c r="AG186" s="34">
        <v>2020</v>
      </c>
      <c r="AH186" s="35">
        <v>2020</v>
      </c>
      <c r="BZ186" s="71"/>
      <c r="CD186" s="20" t="e">
        <f t="shared" si="15"/>
        <v>#N/A</v>
      </c>
    </row>
    <row r="187" spans="1:84" ht="61.5" x14ac:dyDescent="0.85">
      <c r="A187" s="20">
        <v>1</v>
      </c>
      <c r="B187" s="66">
        <f>SUBTOTAL(103,$A$22:A187)</f>
        <v>164</v>
      </c>
      <c r="C187" s="24" t="s">
        <v>1320</v>
      </c>
      <c r="D187" s="31">
        <f t="shared" si="18"/>
        <v>13429838.609999999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3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2524</v>
      </c>
      <c r="R187" s="31">
        <v>13084284.02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f>ROUND(R187*1.5%,2)</f>
        <v>196264.26</v>
      </c>
      <c r="AD187" s="31">
        <v>149290.32999999999</v>
      </c>
      <c r="AE187" s="31">
        <v>0</v>
      </c>
      <c r="AF187" s="34">
        <v>2020</v>
      </c>
      <c r="AG187" s="34">
        <v>2020</v>
      </c>
      <c r="AH187" s="35">
        <v>2020</v>
      </c>
      <c r="AI187" s="34">
        <v>2020</v>
      </c>
      <c r="AJ187" s="34">
        <v>2020</v>
      </c>
      <c r="AK187" s="34">
        <v>2020</v>
      </c>
      <c r="AL187" s="34">
        <v>2020</v>
      </c>
      <c r="AM187" s="34">
        <v>2020</v>
      </c>
      <c r="AN187" s="34">
        <v>2020</v>
      </c>
      <c r="AO187" s="34">
        <v>2020</v>
      </c>
      <c r="AP187" s="34">
        <v>2020</v>
      </c>
      <c r="AQ187" s="34">
        <v>2020</v>
      </c>
      <c r="AR187" s="34">
        <v>2020</v>
      </c>
      <c r="AS187" s="34">
        <v>2020</v>
      </c>
      <c r="AT187" s="34">
        <v>2020</v>
      </c>
      <c r="AU187" s="34">
        <v>2020</v>
      </c>
      <c r="AV187" s="34">
        <v>2020</v>
      </c>
      <c r="AW187" s="34">
        <v>2020</v>
      </c>
      <c r="AX187" s="34">
        <v>2020</v>
      </c>
      <c r="AY187" s="34">
        <v>2020</v>
      </c>
      <c r="AZ187" s="34">
        <v>2020</v>
      </c>
      <c r="BA187" s="34">
        <v>2020</v>
      </c>
      <c r="BB187" s="34">
        <v>2020</v>
      </c>
      <c r="BC187" s="34">
        <v>2020</v>
      </c>
      <c r="BD187" s="34">
        <v>2020</v>
      </c>
      <c r="BE187" s="34">
        <v>2020</v>
      </c>
      <c r="BF187" s="34">
        <v>2020</v>
      </c>
      <c r="BG187" s="34">
        <v>2020</v>
      </c>
      <c r="BH187" s="34">
        <v>2020</v>
      </c>
      <c r="BI187" s="34">
        <v>2020</v>
      </c>
      <c r="BJ187" s="34">
        <v>2020</v>
      </c>
      <c r="BK187" s="34">
        <v>2020</v>
      </c>
      <c r="BL187" s="34">
        <v>2020</v>
      </c>
      <c r="BM187" s="34">
        <v>2020</v>
      </c>
      <c r="BN187" s="34">
        <v>2020</v>
      </c>
      <c r="BO187" s="34">
        <v>2020</v>
      </c>
      <c r="BP187" s="34">
        <v>2020</v>
      </c>
      <c r="BQ187" s="34">
        <v>2020</v>
      </c>
      <c r="BR187" s="34">
        <v>2020</v>
      </c>
      <c r="BS187" s="34">
        <v>2020</v>
      </c>
      <c r="BT187" s="34">
        <v>2020</v>
      </c>
      <c r="BU187" s="34">
        <v>2020</v>
      </c>
      <c r="BV187" s="34">
        <v>2020</v>
      </c>
      <c r="BW187" s="34">
        <v>2020</v>
      </c>
      <c r="BZ187" s="71"/>
      <c r="CD187" s="20" t="e">
        <f t="shared" si="15"/>
        <v>#N/A</v>
      </c>
    </row>
    <row r="188" spans="1:84" ht="61.5" x14ac:dyDescent="0.85">
      <c r="A188" s="20">
        <v>1</v>
      </c>
      <c r="B188" s="66">
        <f>SUBTOTAL(103,$A$22:A188)</f>
        <v>165</v>
      </c>
      <c r="C188" s="24" t="s">
        <v>1321</v>
      </c>
      <c r="D188" s="31">
        <f t="shared" si="18"/>
        <v>3218030.63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3">
        <v>0</v>
      </c>
      <c r="L188" s="31">
        <v>0</v>
      </c>
      <c r="M188" s="31">
        <v>590</v>
      </c>
      <c r="N188" s="31">
        <v>3111330.05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f t="shared" ref="AC188:AC194" si="19">ROUND(N188*1.5%,2)</f>
        <v>46669.95</v>
      </c>
      <c r="AD188" s="31">
        <v>60030.63</v>
      </c>
      <c r="AE188" s="31">
        <v>0</v>
      </c>
      <c r="AF188" s="34">
        <v>2020</v>
      </c>
      <c r="AG188" s="34">
        <v>2020</v>
      </c>
      <c r="AH188" s="35">
        <v>2020</v>
      </c>
      <c r="BZ188" s="71"/>
      <c r="CD188" s="20" t="e">
        <f t="shared" si="15"/>
        <v>#N/A</v>
      </c>
    </row>
    <row r="189" spans="1:84" ht="61.5" x14ac:dyDescent="0.85">
      <c r="A189" s="20">
        <v>1</v>
      </c>
      <c r="B189" s="66">
        <f>SUBTOTAL(103,$A$22:A189)</f>
        <v>166</v>
      </c>
      <c r="C189" s="24" t="s">
        <v>1322</v>
      </c>
      <c r="D189" s="31">
        <f t="shared" si="18"/>
        <v>3619449.67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3">
        <v>0</v>
      </c>
      <c r="L189" s="31">
        <v>0</v>
      </c>
      <c r="M189" s="31">
        <v>665</v>
      </c>
      <c r="N189" s="31">
        <v>3485221.67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f t="shared" si="19"/>
        <v>52278.33</v>
      </c>
      <c r="AD189" s="31">
        <v>81949.67</v>
      </c>
      <c r="AE189" s="31">
        <v>0</v>
      </c>
      <c r="AF189" s="34">
        <v>2020</v>
      </c>
      <c r="AG189" s="34">
        <v>2020</v>
      </c>
      <c r="AH189" s="35">
        <v>2020</v>
      </c>
      <c r="BZ189" s="71"/>
      <c r="CD189" s="20" t="e">
        <f t="shared" si="15"/>
        <v>#N/A</v>
      </c>
    </row>
    <row r="190" spans="1:84" ht="61.5" x14ac:dyDescent="0.85">
      <c r="A190" s="20">
        <v>1</v>
      </c>
      <c r="B190" s="66">
        <f>SUBTOTAL(103,$A$22:A190)</f>
        <v>167</v>
      </c>
      <c r="C190" s="24" t="s">
        <v>1323</v>
      </c>
      <c r="D190" s="31">
        <f t="shared" si="18"/>
        <v>1298325.17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3">
        <v>0</v>
      </c>
      <c r="L190" s="31">
        <v>0</v>
      </c>
      <c r="M190" s="31">
        <v>246</v>
      </c>
      <c r="N190" s="31">
        <v>1234482.76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f t="shared" si="19"/>
        <v>18517.240000000002</v>
      </c>
      <c r="AD190" s="31">
        <v>45325.17</v>
      </c>
      <c r="AE190" s="31">
        <v>0</v>
      </c>
      <c r="AF190" s="34">
        <v>2020</v>
      </c>
      <c r="AG190" s="34">
        <v>2020</v>
      </c>
      <c r="AH190" s="35">
        <v>2020</v>
      </c>
      <c r="BZ190" s="71"/>
      <c r="CD190" s="20" t="e">
        <f t="shared" si="15"/>
        <v>#N/A</v>
      </c>
    </row>
    <row r="191" spans="1:84" ht="61.5" x14ac:dyDescent="0.85">
      <c r="A191" s="20">
        <v>1</v>
      </c>
      <c r="B191" s="66">
        <f>SUBTOTAL(103,$A$22:A191)</f>
        <v>168</v>
      </c>
      <c r="C191" s="24" t="s">
        <v>1324</v>
      </c>
      <c r="D191" s="31">
        <f t="shared" si="18"/>
        <v>1338948.23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3">
        <v>0</v>
      </c>
      <c r="L191" s="31">
        <v>0</v>
      </c>
      <c r="M191" s="31">
        <v>253</v>
      </c>
      <c r="N191" s="31">
        <v>1272413.79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f t="shared" si="19"/>
        <v>19086.21</v>
      </c>
      <c r="AD191" s="31">
        <v>47448.23</v>
      </c>
      <c r="AE191" s="31">
        <v>0</v>
      </c>
      <c r="AF191" s="34">
        <v>2020</v>
      </c>
      <c r="AG191" s="34">
        <v>2020</v>
      </c>
      <c r="AH191" s="35">
        <v>2020</v>
      </c>
      <c r="BZ191" s="71"/>
      <c r="CD191" s="20" t="e">
        <f t="shared" si="15"/>
        <v>#N/A</v>
      </c>
    </row>
    <row r="192" spans="1:84" ht="61.5" x14ac:dyDescent="0.85">
      <c r="A192" s="20">
        <v>1</v>
      </c>
      <c r="B192" s="66">
        <f>SUBTOTAL(103,$A$22:A192)</f>
        <v>169</v>
      </c>
      <c r="C192" s="24" t="s">
        <v>1595</v>
      </c>
      <c r="D192" s="31">
        <f t="shared" si="18"/>
        <v>2343822.52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3">
        <v>0</v>
      </c>
      <c r="L192" s="31">
        <v>0</v>
      </c>
      <c r="M192" s="31">
        <v>792</v>
      </c>
      <c r="N192" s="31">
        <v>2330886.1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12936.42</v>
      </c>
      <c r="AD192" s="31">
        <v>0</v>
      </c>
      <c r="AE192" s="31">
        <v>0</v>
      </c>
      <c r="AF192" s="34" t="s">
        <v>274</v>
      </c>
      <c r="AG192" s="34">
        <v>2020</v>
      </c>
      <c r="AH192" s="35">
        <v>2020</v>
      </c>
      <c r="BZ192" s="71"/>
      <c r="CD192" s="20">
        <f t="shared" si="15"/>
        <v>792</v>
      </c>
    </row>
    <row r="193" spans="1:82" ht="61.5" x14ac:dyDescent="0.85">
      <c r="A193" s="20">
        <v>1</v>
      </c>
      <c r="B193" s="66">
        <f>SUBTOTAL(103,$A$22:A193)</f>
        <v>170</v>
      </c>
      <c r="C193" s="24" t="s">
        <v>1607</v>
      </c>
      <c r="D193" s="31">
        <f t="shared" si="18"/>
        <v>2582227.59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3">
        <v>0</v>
      </c>
      <c r="L193" s="31">
        <v>0</v>
      </c>
      <c r="M193" s="31">
        <v>504</v>
      </c>
      <c r="N193" s="31">
        <v>2474667.19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f t="shared" si="19"/>
        <v>37120.01</v>
      </c>
      <c r="AD193" s="31">
        <v>70440.39</v>
      </c>
      <c r="AE193" s="31">
        <v>0</v>
      </c>
      <c r="AF193" s="34">
        <v>2020</v>
      </c>
      <c r="AG193" s="34">
        <v>2020</v>
      </c>
      <c r="AH193" s="35">
        <v>2020</v>
      </c>
      <c r="BZ193" s="71"/>
      <c r="CD193" s="20" t="e">
        <f t="shared" si="15"/>
        <v>#N/A</v>
      </c>
    </row>
    <row r="194" spans="1:82" ht="61.5" x14ac:dyDescent="0.85">
      <c r="A194" s="20">
        <v>1</v>
      </c>
      <c r="B194" s="66">
        <f>SUBTOTAL(103,$A$22:A194)</f>
        <v>171</v>
      </c>
      <c r="C194" s="24" t="s">
        <v>1608</v>
      </c>
      <c r="D194" s="31">
        <f t="shared" si="18"/>
        <v>3239524.45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3">
        <v>0</v>
      </c>
      <c r="L194" s="31">
        <v>0</v>
      </c>
      <c r="M194" s="31">
        <v>630</v>
      </c>
      <c r="N194" s="31">
        <v>3114086.93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f t="shared" si="19"/>
        <v>46711.3</v>
      </c>
      <c r="AD194" s="31">
        <v>78726.22</v>
      </c>
      <c r="AE194" s="31">
        <v>0</v>
      </c>
      <c r="AF194" s="34">
        <v>2020</v>
      </c>
      <c r="AG194" s="34">
        <v>2020</v>
      </c>
      <c r="AH194" s="35">
        <v>2020</v>
      </c>
      <c r="BZ194" s="71"/>
      <c r="CD194" s="20" t="e">
        <f t="shared" si="15"/>
        <v>#N/A</v>
      </c>
    </row>
    <row r="195" spans="1:82" ht="61.5" x14ac:dyDescent="0.85">
      <c r="A195" s="20">
        <v>1</v>
      </c>
      <c r="B195" s="66">
        <f>SUBTOTAL(103,$A$22:A195)</f>
        <v>172</v>
      </c>
      <c r="C195" s="24" t="s">
        <v>1638</v>
      </c>
      <c r="D195" s="31">
        <f t="shared" si="18"/>
        <v>9971798.8300000001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3">
        <v>0</v>
      </c>
      <c r="L195" s="31">
        <v>0</v>
      </c>
      <c r="M195" s="31">
        <v>826</v>
      </c>
      <c r="N195" s="31">
        <f>2700000-67014.64-3074</f>
        <v>2629911.36</v>
      </c>
      <c r="O195" s="31">
        <v>0</v>
      </c>
      <c r="P195" s="31">
        <v>0</v>
      </c>
      <c r="Q195" s="31">
        <v>0</v>
      </c>
      <c r="R195" s="31">
        <v>0</v>
      </c>
      <c r="S195" s="31">
        <v>375</v>
      </c>
      <c r="T195" s="31">
        <f>6900000</f>
        <v>6900000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f>ROUND((N195+T195)*1.5%,2)</f>
        <v>142948.67000000001</v>
      </c>
      <c r="AD195" s="31">
        <v>298938.8</v>
      </c>
      <c r="AE195" s="31">
        <v>0</v>
      </c>
      <c r="AF195" s="34">
        <v>2020</v>
      </c>
      <c r="AG195" s="34">
        <v>2020</v>
      </c>
      <c r="AH195" s="35">
        <v>2020</v>
      </c>
      <c r="BZ195" s="71"/>
      <c r="CD195" s="20" t="e">
        <f t="shared" si="15"/>
        <v>#N/A</v>
      </c>
    </row>
    <row r="196" spans="1:82" ht="61.5" x14ac:dyDescent="0.85">
      <c r="B196" s="24" t="s">
        <v>785</v>
      </c>
      <c r="C196" s="129"/>
      <c r="D196" s="31">
        <f t="shared" ref="D196:AE196" si="20">SUM(D197:D229)</f>
        <v>172104925.05999997</v>
      </c>
      <c r="E196" s="31">
        <f t="shared" si="20"/>
        <v>845974.22</v>
      </c>
      <c r="F196" s="31">
        <f t="shared" si="20"/>
        <v>0</v>
      </c>
      <c r="G196" s="31">
        <f t="shared" si="20"/>
        <v>7605779.9500000011</v>
      </c>
      <c r="H196" s="31">
        <f t="shared" si="20"/>
        <v>1536697.15</v>
      </c>
      <c r="I196" s="31">
        <f t="shared" si="20"/>
        <v>4376732.83</v>
      </c>
      <c r="J196" s="31">
        <f t="shared" si="20"/>
        <v>0</v>
      </c>
      <c r="K196" s="33">
        <f t="shared" si="20"/>
        <v>56</v>
      </c>
      <c r="L196" s="31">
        <f t="shared" si="20"/>
        <v>98264817.120000005</v>
      </c>
      <c r="M196" s="31">
        <f t="shared" si="20"/>
        <v>9147.85</v>
      </c>
      <c r="N196" s="31">
        <f t="shared" si="20"/>
        <v>39367327.940000005</v>
      </c>
      <c r="O196" s="31">
        <f t="shared" si="20"/>
        <v>0</v>
      </c>
      <c r="P196" s="31">
        <f t="shared" si="20"/>
        <v>0</v>
      </c>
      <c r="Q196" s="31">
        <f t="shared" si="20"/>
        <v>3510.87</v>
      </c>
      <c r="R196" s="31">
        <f t="shared" si="20"/>
        <v>17471229.289999999</v>
      </c>
      <c r="S196" s="31">
        <f t="shared" si="20"/>
        <v>0</v>
      </c>
      <c r="T196" s="31">
        <f t="shared" si="20"/>
        <v>0</v>
      </c>
      <c r="U196" s="31">
        <f t="shared" si="20"/>
        <v>0</v>
      </c>
      <c r="V196" s="31">
        <f t="shared" si="20"/>
        <v>210000</v>
      </c>
      <c r="W196" s="31">
        <f t="shared" si="20"/>
        <v>0</v>
      </c>
      <c r="X196" s="31">
        <f t="shared" si="20"/>
        <v>0</v>
      </c>
      <c r="Y196" s="31">
        <f t="shared" si="20"/>
        <v>0</v>
      </c>
      <c r="Z196" s="31">
        <f t="shared" si="20"/>
        <v>0</v>
      </c>
      <c r="AA196" s="31">
        <f t="shared" si="20"/>
        <v>0</v>
      </c>
      <c r="AB196" s="31">
        <f t="shared" si="20"/>
        <v>0</v>
      </c>
      <c r="AC196" s="31">
        <f t="shared" si="20"/>
        <v>1071206.1300000001</v>
      </c>
      <c r="AD196" s="31">
        <f t="shared" si="20"/>
        <v>1115160.43</v>
      </c>
      <c r="AE196" s="31">
        <f t="shared" si="20"/>
        <v>240000</v>
      </c>
      <c r="AF196" s="72" t="s">
        <v>776</v>
      </c>
      <c r="AG196" s="72" t="s">
        <v>776</v>
      </c>
      <c r="AH196" s="88" t="s">
        <v>776</v>
      </c>
      <c r="AT196" s="20" t="e">
        <f t="shared" ref="AT196:AT208" si="21">VLOOKUP(C196,AW:AX,2,FALSE)</f>
        <v>#N/A</v>
      </c>
      <c r="BZ196" s="71">
        <v>182923711.81999996</v>
      </c>
      <c r="CB196" s="71">
        <f>BZ196-D196</f>
        <v>10818786.75999999</v>
      </c>
      <c r="CD196" s="20" t="e">
        <f t="shared" si="15"/>
        <v>#N/A</v>
      </c>
    </row>
    <row r="197" spans="1:82" ht="61.5" x14ac:dyDescent="0.85">
      <c r="A197" s="20">
        <v>1</v>
      </c>
      <c r="B197" s="66">
        <f>SUBTOTAL(103,$A$22:A197)</f>
        <v>173</v>
      </c>
      <c r="C197" s="24" t="s">
        <v>786</v>
      </c>
      <c r="D197" s="31">
        <f t="shared" ref="D197:D229" si="22">E197+F197+G197+H197+I197+J197+L197+N197+P197+R197+T197+U197+V197+W197+X197+Y197+Z197+AA197+AB197+AC197+AD197+AE197</f>
        <v>8096493.6899999995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3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1402</v>
      </c>
      <c r="R197" s="31">
        <v>7829901.7899999991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f>ROUND(R197*1.5%,2)</f>
        <v>117448.53</v>
      </c>
      <c r="AD197" s="31">
        <v>149143.37</v>
      </c>
      <c r="AE197" s="31">
        <v>0</v>
      </c>
      <c r="AF197" s="34">
        <v>2020</v>
      </c>
      <c r="AG197" s="34">
        <v>2020</v>
      </c>
      <c r="AH197" s="35">
        <v>2020</v>
      </c>
      <c r="AT197" s="20" t="e">
        <f t="shared" si="21"/>
        <v>#N/A</v>
      </c>
      <c r="BZ197" s="71"/>
      <c r="CD197" s="20" t="e">
        <f t="shared" si="15"/>
        <v>#N/A</v>
      </c>
    </row>
    <row r="198" spans="1:82" ht="61.5" x14ac:dyDescent="0.85">
      <c r="A198" s="20">
        <v>1</v>
      </c>
      <c r="B198" s="66">
        <f>SUBTOTAL(103,$A$22:A198)</f>
        <v>174</v>
      </c>
      <c r="C198" s="24" t="s">
        <v>787</v>
      </c>
      <c r="D198" s="31">
        <f t="shared" si="22"/>
        <v>2390164.4000000004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3">
        <v>0</v>
      </c>
      <c r="L198" s="31">
        <v>0</v>
      </c>
      <c r="M198" s="31">
        <v>540.37</v>
      </c>
      <c r="N198" s="31">
        <v>2267010.7400000002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f>ROUND(N198*1.5%,2)</f>
        <v>34005.160000000003</v>
      </c>
      <c r="AD198" s="31">
        <v>89148.5</v>
      </c>
      <c r="AE198" s="31">
        <v>0</v>
      </c>
      <c r="AF198" s="34">
        <v>2020</v>
      </c>
      <c r="AG198" s="34">
        <v>2020</v>
      </c>
      <c r="AH198" s="35">
        <v>2020</v>
      </c>
      <c r="AT198" s="20" t="e">
        <f t="shared" si="21"/>
        <v>#N/A</v>
      </c>
      <c r="BZ198" s="71"/>
      <c r="CD198" s="20" t="e">
        <f t="shared" si="15"/>
        <v>#N/A</v>
      </c>
    </row>
    <row r="199" spans="1:82" ht="61.5" x14ac:dyDescent="0.85">
      <c r="A199" s="20">
        <v>1</v>
      </c>
      <c r="B199" s="66">
        <f>SUBTOTAL(103,$A$22:A199)</f>
        <v>175</v>
      </c>
      <c r="C199" s="24" t="s">
        <v>788</v>
      </c>
      <c r="D199" s="31">
        <f t="shared" si="22"/>
        <v>1220001.9200000002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3">
        <v>0</v>
      </c>
      <c r="L199" s="31">
        <v>0</v>
      </c>
      <c r="M199" s="31">
        <v>265</v>
      </c>
      <c r="N199" s="31">
        <v>1140865.8600000001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f>ROUND(N199*1.5%,2)</f>
        <v>17112.990000000002</v>
      </c>
      <c r="AD199" s="31">
        <v>62023.07</v>
      </c>
      <c r="AE199" s="31">
        <v>0</v>
      </c>
      <c r="AF199" s="34">
        <v>2020</v>
      </c>
      <c r="AG199" s="34">
        <v>2020</v>
      </c>
      <c r="AH199" s="35">
        <v>2020</v>
      </c>
      <c r="AT199" s="20" t="e">
        <f t="shared" si="21"/>
        <v>#N/A</v>
      </c>
      <c r="BZ199" s="71"/>
      <c r="CD199" s="20" t="e">
        <f t="shared" si="15"/>
        <v>#N/A</v>
      </c>
    </row>
    <row r="200" spans="1:82" ht="61.5" x14ac:dyDescent="0.85">
      <c r="A200" s="20">
        <v>1</v>
      </c>
      <c r="B200" s="66">
        <f>SUBTOTAL(103,$A$22:A200)</f>
        <v>176</v>
      </c>
      <c r="C200" s="24" t="s">
        <v>789</v>
      </c>
      <c r="D200" s="31">
        <f t="shared" si="22"/>
        <v>6235239.4299999997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3">
        <v>3</v>
      </c>
      <c r="L200" s="31">
        <v>6235239.4299999997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4" t="s">
        <v>274</v>
      </c>
      <c r="AG200" s="34">
        <v>2020</v>
      </c>
      <c r="AH200" s="35" t="s">
        <v>274</v>
      </c>
      <c r="AT200" s="20" t="e">
        <f t="shared" si="21"/>
        <v>#N/A</v>
      </c>
      <c r="BZ200" s="71"/>
      <c r="CD200" s="20" t="e">
        <f t="shared" si="15"/>
        <v>#N/A</v>
      </c>
    </row>
    <row r="201" spans="1:82" ht="61.5" x14ac:dyDescent="0.85">
      <c r="A201" s="20">
        <v>1</v>
      </c>
      <c r="B201" s="66">
        <f>SUBTOTAL(103,$A$22:A201)</f>
        <v>177</v>
      </c>
      <c r="C201" s="24" t="s">
        <v>790</v>
      </c>
      <c r="D201" s="31">
        <f t="shared" si="22"/>
        <v>8305636.5700000003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3">
        <v>4</v>
      </c>
      <c r="L201" s="31">
        <v>8305636.5700000003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4" t="s">
        <v>274</v>
      </c>
      <c r="AG201" s="34">
        <v>2020</v>
      </c>
      <c r="AH201" s="35" t="s">
        <v>274</v>
      </c>
      <c r="AT201" s="20" t="e">
        <f t="shared" si="21"/>
        <v>#N/A</v>
      </c>
      <c r="BZ201" s="71"/>
      <c r="CD201" s="20" t="e">
        <f t="shared" si="15"/>
        <v>#N/A</v>
      </c>
    </row>
    <row r="202" spans="1:82" ht="61.5" x14ac:dyDescent="0.85">
      <c r="A202" s="20">
        <v>1</v>
      </c>
      <c r="B202" s="66">
        <f>SUBTOTAL(103,$A$22:A202)</f>
        <v>178</v>
      </c>
      <c r="C202" s="24" t="s">
        <v>791</v>
      </c>
      <c r="D202" s="31">
        <f t="shared" si="22"/>
        <v>10305814.43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3">
        <v>5</v>
      </c>
      <c r="L202" s="31">
        <v>10305814.43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4" t="s">
        <v>274</v>
      </c>
      <c r="AG202" s="34">
        <v>2020</v>
      </c>
      <c r="AH202" s="35" t="s">
        <v>274</v>
      </c>
      <c r="AT202" s="20" t="e">
        <f t="shared" si="21"/>
        <v>#N/A</v>
      </c>
      <c r="BZ202" s="71"/>
      <c r="CD202" s="20" t="e">
        <f t="shared" si="15"/>
        <v>#N/A</v>
      </c>
    </row>
    <row r="203" spans="1:82" ht="61.5" x14ac:dyDescent="0.85">
      <c r="A203" s="20">
        <v>1</v>
      </c>
      <c r="B203" s="66">
        <f>SUBTOTAL(103,$A$22:A203)</f>
        <v>179</v>
      </c>
      <c r="C203" s="24" t="s">
        <v>792</v>
      </c>
      <c r="D203" s="31">
        <f t="shared" si="22"/>
        <v>9954095.7100000009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3">
        <v>5</v>
      </c>
      <c r="L203" s="31">
        <v>9954095.7100000009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4" t="s">
        <v>274</v>
      </c>
      <c r="AG203" s="34">
        <v>2020</v>
      </c>
      <c r="AH203" s="35" t="s">
        <v>274</v>
      </c>
      <c r="AT203" s="20" t="e">
        <f t="shared" si="21"/>
        <v>#N/A</v>
      </c>
      <c r="BZ203" s="71"/>
      <c r="CD203" s="20" t="e">
        <f t="shared" si="15"/>
        <v>#N/A</v>
      </c>
    </row>
    <row r="204" spans="1:82" ht="61.5" x14ac:dyDescent="0.85">
      <c r="A204" s="20">
        <v>1</v>
      </c>
      <c r="B204" s="66">
        <f>SUBTOTAL(103,$A$22:A204)</f>
        <v>180</v>
      </c>
      <c r="C204" s="24" t="s">
        <v>793</v>
      </c>
      <c r="D204" s="31">
        <f t="shared" si="22"/>
        <v>9310459.7000000011</v>
      </c>
      <c r="E204" s="31">
        <v>749597.22</v>
      </c>
      <c r="F204" s="31">
        <v>0</v>
      </c>
      <c r="G204" s="31">
        <f>6632817.44-1050860.34</f>
        <v>5581957.1000000006</v>
      </c>
      <c r="H204" s="31">
        <v>900908.28</v>
      </c>
      <c r="I204" s="31">
        <v>1694890.44</v>
      </c>
      <c r="J204" s="31">
        <v>0</v>
      </c>
      <c r="K204" s="33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f>ROUND((E204+F204+G204+H204+I204+J204)*1.5%,2)</f>
        <v>133910.29999999999</v>
      </c>
      <c r="AD204" s="31">
        <v>249196.36</v>
      </c>
      <c r="AE204" s="31">
        <v>0</v>
      </c>
      <c r="AF204" s="34">
        <v>2020</v>
      </c>
      <c r="AG204" s="34">
        <v>2020</v>
      </c>
      <c r="AH204" s="35">
        <v>2020</v>
      </c>
      <c r="AT204" s="20" t="e">
        <f t="shared" si="21"/>
        <v>#N/A</v>
      </c>
      <c r="BZ204" s="71"/>
      <c r="CD204" s="20" t="e">
        <f t="shared" si="15"/>
        <v>#N/A</v>
      </c>
    </row>
    <row r="205" spans="1:82" ht="61.5" x14ac:dyDescent="0.85">
      <c r="A205" s="20">
        <v>1</v>
      </c>
      <c r="B205" s="66">
        <f>SUBTOTAL(103,$A$22:A205)</f>
        <v>181</v>
      </c>
      <c r="C205" s="24" t="s">
        <v>794</v>
      </c>
      <c r="D205" s="31">
        <f t="shared" si="22"/>
        <v>1728218.4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3">
        <v>0</v>
      </c>
      <c r="L205" s="31">
        <v>0</v>
      </c>
      <c r="M205" s="31">
        <v>675</v>
      </c>
      <c r="N205" s="31">
        <v>1622576.28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f>ROUND(N205*1.5%,2)</f>
        <v>24338.639999999999</v>
      </c>
      <c r="AD205" s="31">
        <v>81303.48</v>
      </c>
      <c r="AE205" s="31">
        <v>0</v>
      </c>
      <c r="AF205" s="34">
        <v>2020</v>
      </c>
      <c r="AG205" s="34">
        <v>2020</v>
      </c>
      <c r="AH205" s="35">
        <v>2020</v>
      </c>
      <c r="AT205" s="20" t="e">
        <f t="shared" si="21"/>
        <v>#N/A</v>
      </c>
      <c r="BZ205" s="71"/>
      <c r="CD205" s="20" t="e">
        <f t="shared" si="15"/>
        <v>#N/A</v>
      </c>
    </row>
    <row r="206" spans="1:82" ht="61.5" x14ac:dyDescent="0.85">
      <c r="A206" s="20">
        <v>1</v>
      </c>
      <c r="B206" s="66">
        <f>SUBTOTAL(103,$A$22:A206)</f>
        <v>182</v>
      </c>
      <c r="C206" s="24" t="s">
        <v>795</v>
      </c>
      <c r="D206" s="31">
        <f t="shared" si="22"/>
        <v>8044895.8899999997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3">
        <v>0</v>
      </c>
      <c r="L206" s="31">
        <v>0</v>
      </c>
      <c r="M206" s="31">
        <v>1319.27</v>
      </c>
      <c r="N206" s="31">
        <v>7812860.0999999996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f>ROUND(N206*1.5%,2)</f>
        <v>117192.9</v>
      </c>
      <c r="AD206" s="31">
        <v>114842.89</v>
      </c>
      <c r="AE206" s="31">
        <v>0</v>
      </c>
      <c r="AF206" s="34">
        <v>2020</v>
      </c>
      <c r="AG206" s="34">
        <v>2020</v>
      </c>
      <c r="AH206" s="35">
        <v>2020</v>
      </c>
      <c r="AT206" s="20" t="e">
        <f t="shared" si="21"/>
        <v>#N/A</v>
      </c>
      <c r="BZ206" s="71"/>
      <c r="CD206" s="20">
        <f t="shared" si="15"/>
        <v>1319.27</v>
      </c>
    </row>
    <row r="207" spans="1:82" ht="61.5" x14ac:dyDescent="0.85">
      <c r="A207" s="20">
        <v>1</v>
      </c>
      <c r="B207" s="66">
        <f>SUBTOTAL(103,$A$22:A207)</f>
        <v>183</v>
      </c>
      <c r="C207" s="24" t="s">
        <v>796</v>
      </c>
      <c r="D207" s="31">
        <f t="shared" si="22"/>
        <v>5123354.76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3">
        <v>0</v>
      </c>
      <c r="L207" s="31">
        <v>0</v>
      </c>
      <c r="M207" s="31">
        <v>1080</v>
      </c>
      <c r="N207" s="31">
        <v>4913159.8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f>ROUND(N207*1.5%,2)</f>
        <v>73697.399999999994</v>
      </c>
      <c r="AD207" s="31">
        <v>136497.56</v>
      </c>
      <c r="AE207" s="31">
        <v>0</v>
      </c>
      <c r="AF207" s="34">
        <v>2020</v>
      </c>
      <c r="AG207" s="34">
        <v>2020</v>
      </c>
      <c r="AH207" s="35">
        <v>2020</v>
      </c>
      <c r="AT207" s="20" t="e">
        <f t="shared" si="21"/>
        <v>#N/A</v>
      </c>
      <c r="BZ207" s="71"/>
      <c r="CD207" s="20" t="e">
        <f t="shared" si="15"/>
        <v>#N/A</v>
      </c>
    </row>
    <row r="208" spans="1:82" ht="61.5" x14ac:dyDescent="0.85">
      <c r="A208" s="20">
        <v>1</v>
      </c>
      <c r="B208" s="66">
        <f>SUBTOTAL(103,$A$22:A208)</f>
        <v>184</v>
      </c>
      <c r="C208" s="24" t="s">
        <v>797</v>
      </c>
      <c r="D208" s="31">
        <f t="shared" si="22"/>
        <v>8021093.6299999999</v>
      </c>
      <c r="E208" s="31">
        <v>0</v>
      </c>
      <c r="F208" s="31">
        <v>0</v>
      </c>
      <c r="G208" s="31">
        <v>0</v>
      </c>
      <c r="H208" s="31">
        <v>0</v>
      </c>
      <c r="I208" s="31">
        <v>1464542.39</v>
      </c>
      <c r="J208" s="31">
        <v>0</v>
      </c>
      <c r="K208" s="33">
        <v>0</v>
      </c>
      <c r="L208" s="31">
        <v>0</v>
      </c>
      <c r="M208" s="31">
        <v>1375.9</v>
      </c>
      <c r="N208" s="31">
        <f>6051559.71+150000</f>
        <v>6201559.71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f>ROUND((N208+I208)*1.5%,2)</f>
        <v>114991.53</v>
      </c>
      <c r="AD208" s="31">
        <v>0</v>
      </c>
      <c r="AE208" s="31">
        <v>240000</v>
      </c>
      <c r="AF208" s="34" t="s">
        <v>274</v>
      </c>
      <c r="AG208" s="34">
        <v>2020</v>
      </c>
      <c r="AH208" s="35">
        <v>2020</v>
      </c>
      <c r="AT208" s="20" t="e">
        <f t="shared" si="21"/>
        <v>#N/A</v>
      </c>
      <c r="BZ208" s="71"/>
      <c r="CD208" s="20">
        <f t="shared" si="15"/>
        <v>1375.9</v>
      </c>
    </row>
    <row r="209" spans="1:82" ht="61.5" x14ac:dyDescent="0.85">
      <c r="A209" s="20">
        <v>1</v>
      </c>
      <c r="B209" s="66">
        <f>SUBTOTAL(103,$A$22:A209)</f>
        <v>185</v>
      </c>
      <c r="C209" s="24" t="s">
        <v>1192</v>
      </c>
      <c r="D209" s="31">
        <f t="shared" si="22"/>
        <v>3570035.3200000003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3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206">
        <v>815.66</v>
      </c>
      <c r="R209" s="206">
        <v>3517276.18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f>ROUND(R209*1.5%,2)</f>
        <v>52759.14</v>
      </c>
      <c r="AD209" s="31">
        <v>0</v>
      </c>
      <c r="AE209" s="31">
        <v>0</v>
      </c>
      <c r="AF209" s="34" t="s">
        <v>274</v>
      </c>
      <c r="AG209" s="34">
        <v>2020</v>
      </c>
      <c r="AH209" s="35">
        <v>2020</v>
      </c>
      <c r="BZ209" s="71"/>
      <c r="CD209" s="20" t="e">
        <f t="shared" si="15"/>
        <v>#N/A</v>
      </c>
    </row>
    <row r="210" spans="1:82" ht="61.5" x14ac:dyDescent="0.85">
      <c r="A210" s="20">
        <v>1</v>
      </c>
      <c r="B210" s="66">
        <f>SUBTOTAL(103,$A$22:A210)</f>
        <v>186</v>
      </c>
      <c r="C210" s="24" t="s">
        <v>1193</v>
      </c>
      <c r="D210" s="31">
        <f t="shared" si="22"/>
        <v>3073982.0300000003</v>
      </c>
      <c r="E210" s="31">
        <v>96377</v>
      </c>
      <c r="F210" s="31">
        <v>0</v>
      </c>
      <c r="G210" s="31">
        <v>2023822.85</v>
      </c>
      <c r="H210" s="31">
        <v>178273.87</v>
      </c>
      <c r="I210" s="31">
        <v>730080</v>
      </c>
      <c r="J210" s="31">
        <v>0</v>
      </c>
      <c r="K210" s="33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f>ROUND((E210+F210+G210+H210+I210+J210)*1.5%,2)</f>
        <v>45428.31</v>
      </c>
      <c r="AD210" s="31">
        <v>0</v>
      </c>
      <c r="AE210" s="31">
        <v>0</v>
      </c>
      <c r="AF210" s="34" t="s">
        <v>274</v>
      </c>
      <c r="AG210" s="34">
        <v>2020</v>
      </c>
      <c r="AH210" s="35">
        <v>2020</v>
      </c>
      <c r="BZ210" s="71"/>
      <c r="CD210" s="20" t="e">
        <f t="shared" si="15"/>
        <v>#N/A</v>
      </c>
    </row>
    <row r="211" spans="1:82" ht="61.5" x14ac:dyDescent="0.85">
      <c r="A211" s="20">
        <v>1</v>
      </c>
      <c r="B211" s="66">
        <f>SUBTOTAL(103,$A$22:A211)</f>
        <v>187</v>
      </c>
      <c r="C211" s="24" t="s">
        <v>1194</v>
      </c>
      <c r="D211" s="31">
        <f t="shared" si="22"/>
        <v>5597667.4300000006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3">
        <v>0</v>
      </c>
      <c r="L211" s="31">
        <v>0</v>
      </c>
      <c r="M211" s="31">
        <v>1206.22</v>
      </c>
      <c r="N211" s="31">
        <v>5514943.2800000003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f>ROUND(N211*1.5%,2)</f>
        <v>82724.149999999994</v>
      </c>
      <c r="AD211" s="31">
        <v>0</v>
      </c>
      <c r="AE211" s="31">
        <v>0</v>
      </c>
      <c r="AF211" s="34" t="s">
        <v>274</v>
      </c>
      <c r="AG211" s="34">
        <v>2020</v>
      </c>
      <c r="AH211" s="35">
        <v>2020</v>
      </c>
      <c r="BZ211" s="71"/>
      <c r="CD211" s="20">
        <f t="shared" si="15"/>
        <v>1206.22</v>
      </c>
    </row>
    <row r="212" spans="1:82" ht="61.5" x14ac:dyDescent="0.85">
      <c r="A212" s="20">
        <v>1</v>
      </c>
      <c r="B212" s="66">
        <f>SUBTOTAL(103,$A$22:A212)</f>
        <v>188</v>
      </c>
      <c r="C212" s="24" t="s">
        <v>1195</v>
      </c>
      <c r="D212" s="31">
        <f t="shared" si="22"/>
        <v>958906.03</v>
      </c>
      <c r="E212" s="31">
        <v>0</v>
      </c>
      <c r="F212" s="31">
        <v>0</v>
      </c>
      <c r="G212" s="31">
        <v>0</v>
      </c>
      <c r="H212" s="31">
        <v>457515</v>
      </c>
      <c r="I212" s="31">
        <v>487220</v>
      </c>
      <c r="J212" s="31">
        <v>0</v>
      </c>
      <c r="K212" s="33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f>ROUND((E212+F212+G212+H212+I212+J212)*1.5%,2)</f>
        <v>14171.03</v>
      </c>
      <c r="AD212" s="31">
        <v>0</v>
      </c>
      <c r="AE212" s="31">
        <v>0</v>
      </c>
      <c r="AF212" s="34" t="s">
        <v>274</v>
      </c>
      <c r="AG212" s="34">
        <v>2020</v>
      </c>
      <c r="AH212" s="35">
        <v>2020</v>
      </c>
      <c r="BZ212" s="71"/>
      <c r="CD212" s="20" t="e">
        <f t="shared" si="15"/>
        <v>#N/A</v>
      </c>
    </row>
    <row r="213" spans="1:82" ht="61.5" x14ac:dyDescent="0.85">
      <c r="A213" s="20">
        <v>1</v>
      </c>
      <c r="B213" s="66">
        <f>SUBTOTAL(103,$A$22:A213)</f>
        <v>189</v>
      </c>
      <c r="C213" s="24" t="s">
        <v>1197</v>
      </c>
      <c r="D213" s="31">
        <f t="shared" si="22"/>
        <v>3820202.75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3">
        <v>0</v>
      </c>
      <c r="L213" s="31">
        <v>0</v>
      </c>
      <c r="M213" s="31">
        <v>1137.3</v>
      </c>
      <c r="N213" s="31">
        <v>3763746.55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f>ROUND(N213*1.5%,2)</f>
        <v>56456.2</v>
      </c>
      <c r="AD213" s="31">
        <v>0</v>
      </c>
      <c r="AE213" s="31">
        <v>0</v>
      </c>
      <c r="AF213" s="34" t="s">
        <v>274</v>
      </c>
      <c r="AG213" s="34">
        <v>2020</v>
      </c>
      <c r="AH213" s="35">
        <v>2020</v>
      </c>
      <c r="BZ213" s="71"/>
      <c r="CD213" s="20">
        <f t="shared" si="15"/>
        <v>1137.3</v>
      </c>
    </row>
    <row r="214" spans="1:82" ht="61.5" x14ac:dyDescent="0.85">
      <c r="A214" s="20">
        <v>1</v>
      </c>
      <c r="B214" s="66">
        <f>SUBTOTAL(103,$A$22:A214)</f>
        <v>190</v>
      </c>
      <c r="C214" s="24" t="s">
        <v>1198</v>
      </c>
      <c r="D214" s="31">
        <f t="shared" si="22"/>
        <v>1625426.78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3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364.88</v>
      </c>
      <c r="R214" s="31">
        <v>1601405.69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f>ROUND(R214*1.5%,2)</f>
        <v>24021.09</v>
      </c>
      <c r="AD214" s="31">
        <v>0</v>
      </c>
      <c r="AE214" s="31">
        <v>0</v>
      </c>
      <c r="AF214" s="34" t="s">
        <v>274</v>
      </c>
      <c r="AG214" s="34">
        <v>2020</v>
      </c>
      <c r="AH214" s="35">
        <v>2020</v>
      </c>
      <c r="BZ214" s="71"/>
      <c r="CD214" s="20" t="e">
        <f t="shared" ref="CD214:CD277" si="23">VLOOKUP(C214,CE:CF,2,FALSE)</f>
        <v>#N/A</v>
      </c>
    </row>
    <row r="215" spans="1:82" ht="61.5" x14ac:dyDescent="0.85">
      <c r="A215" s="20">
        <v>1</v>
      </c>
      <c r="B215" s="66">
        <f>SUBTOTAL(103,$A$22:A215)</f>
        <v>191</v>
      </c>
      <c r="C215" s="24" t="s">
        <v>1199</v>
      </c>
      <c r="D215" s="31">
        <f t="shared" si="22"/>
        <v>4355063.8499999996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3">
        <v>3</v>
      </c>
      <c r="L215" s="31">
        <v>4355063.8499999996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4" t="s">
        <v>274</v>
      </c>
      <c r="AG215" s="34">
        <v>2020</v>
      </c>
      <c r="AH215" s="35" t="s">
        <v>274</v>
      </c>
      <c r="BZ215" s="71"/>
      <c r="CD215" s="20" t="e">
        <f t="shared" si="23"/>
        <v>#N/A</v>
      </c>
    </row>
    <row r="216" spans="1:82" ht="61.5" x14ac:dyDescent="0.85">
      <c r="A216" s="20">
        <v>1</v>
      </c>
      <c r="B216" s="66">
        <f>SUBTOTAL(103,$A$22:A216)</f>
        <v>192</v>
      </c>
      <c r="C216" s="24" t="s">
        <v>1200</v>
      </c>
      <c r="D216" s="31">
        <f t="shared" si="22"/>
        <v>2299678.3200000003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3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519.4</v>
      </c>
      <c r="R216" s="31">
        <v>2265692.9300000002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f>ROUND(R216*1.5%,2)</f>
        <v>33985.39</v>
      </c>
      <c r="AD216" s="31">
        <v>0</v>
      </c>
      <c r="AE216" s="31">
        <v>0</v>
      </c>
      <c r="AF216" s="34" t="s">
        <v>274</v>
      </c>
      <c r="AG216" s="34">
        <v>2020</v>
      </c>
      <c r="AH216" s="35">
        <v>2020</v>
      </c>
      <c r="BZ216" s="71"/>
      <c r="CD216" s="20" t="e">
        <f t="shared" si="23"/>
        <v>#N/A</v>
      </c>
    </row>
    <row r="217" spans="1:82" ht="61.5" x14ac:dyDescent="0.85">
      <c r="A217" s="20">
        <v>1</v>
      </c>
      <c r="B217" s="66">
        <f>SUBTOTAL(103,$A$22:A217)</f>
        <v>193</v>
      </c>
      <c r="C217" s="24" t="s">
        <v>1201</v>
      </c>
      <c r="D217" s="31">
        <f t="shared" si="22"/>
        <v>2329359.0300000003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3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408.93</v>
      </c>
      <c r="R217" s="31">
        <f>1921347.08+335605.62</f>
        <v>2256952.7000000002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f>ROUND(R217*1.5%,2)</f>
        <v>33854.29</v>
      </c>
      <c r="AD217" s="31">
        <v>38552.04</v>
      </c>
      <c r="AE217" s="31">
        <v>0</v>
      </c>
      <c r="AF217" s="34">
        <v>2020</v>
      </c>
      <c r="AG217" s="34">
        <v>2020</v>
      </c>
      <c r="AH217" s="35">
        <v>2020</v>
      </c>
      <c r="BZ217" s="71"/>
      <c r="CD217" s="20" t="e">
        <f t="shared" si="23"/>
        <v>#N/A</v>
      </c>
    </row>
    <row r="218" spans="1:82" ht="61.5" x14ac:dyDescent="0.85">
      <c r="A218" s="20">
        <v>1</v>
      </c>
      <c r="B218" s="66">
        <f>SUBTOTAL(103,$A$22:A218)</f>
        <v>194</v>
      </c>
      <c r="C218" s="24" t="s">
        <v>1202</v>
      </c>
      <c r="D218" s="31">
        <f t="shared" si="22"/>
        <v>6356844.0800000001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3">
        <v>4</v>
      </c>
      <c r="L218" s="31">
        <v>6356844.0800000001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4" t="s">
        <v>274</v>
      </c>
      <c r="AG218" s="34">
        <v>2020</v>
      </c>
      <c r="AH218" s="35" t="s">
        <v>274</v>
      </c>
      <c r="BZ218" s="71"/>
      <c r="CD218" s="20" t="e">
        <f t="shared" si="23"/>
        <v>#N/A</v>
      </c>
    </row>
    <row r="219" spans="1:82" ht="61.5" x14ac:dyDescent="0.85">
      <c r="A219" s="20">
        <v>1</v>
      </c>
      <c r="B219" s="66">
        <f>SUBTOTAL(103,$A$22:A219)</f>
        <v>195</v>
      </c>
      <c r="C219" s="24" t="s">
        <v>1306</v>
      </c>
      <c r="D219" s="31">
        <f t="shared" si="22"/>
        <v>6417017.8600000003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3">
        <v>0</v>
      </c>
      <c r="L219" s="31">
        <v>0</v>
      </c>
      <c r="M219" s="31">
        <v>1548.79</v>
      </c>
      <c r="N219" s="31">
        <f>6669512.32+1022599.21-1561505.91</f>
        <v>6130605.6200000001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f>ROUND(N219*1.5%,2)</f>
        <v>91959.08</v>
      </c>
      <c r="AD219" s="31">
        <v>194453.16</v>
      </c>
      <c r="AE219" s="31">
        <v>0</v>
      </c>
      <c r="AF219" s="34">
        <v>2020</v>
      </c>
      <c r="AG219" s="34">
        <v>2020</v>
      </c>
      <c r="AH219" s="35">
        <v>2020</v>
      </c>
      <c r="BZ219" s="71"/>
      <c r="CD219" s="20" t="e">
        <f t="shared" si="23"/>
        <v>#N/A</v>
      </c>
    </row>
    <row r="220" spans="1:82" ht="61.5" x14ac:dyDescent="0.85">
      <c r="A220" s="20">
        <v>1</v>
      </c>
      <c r="B220" s="66">
        <f>SUBTOTAL(103,$A$22:A220)</f>
        <v>196</v>
      </c>
      <c r="C220" s="24" t="s">
        <v>1398</v>
      </c>
      <c r="D220" s="31">
        <f t="shared" si="22"/>
        <v>13083489.59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3">
        <v>9</v>
      </c>
      <c r="L220" s="31">
        <v>13083489.59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4" t="s">
        <v>274</v>
      </c>
      <c r="AG220" s="34">
        <v>2020</v>
      </c>
      <c r="AH220" s="35" t="s">
        <v>274</v>
      </c>
      <c r="BZ220" s="71"/>
      <c r="CD220" s="20" t="e">
        <f t="shared" si="23"/>
        <v>#N/A</v>
      </c>
    </row>
    <row r="221" spans="1:82" ht="61.5" x14ac:dyDescent="0.85">
      <c r="A221" s="20">
        <v>1</v>
      </c>
      <c r="B221" s="66">
        <f>SUBTOTAL(103,$A$22:A221)</f>
        <v>197</v>
      </c>
      <c r="C221" s="24" t="s">
        <v>1414</v>
      </c>
      <c r="D221" s="31">
        <f t="shared" si="22"/>
        <v>5478127.7400000002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3">
        <v>3</v>
      </c>
      <c r="L221" s="31">
        <v>5478127.7400000002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4" t="s">
        <v>274</v>
      </c>
      <c r="AG221" s="34">
        <v>2020</v>
      </c>
      <c r="AH221" s="35" t="s">
        <v>274</v>
      </c>
      <c r="BZ221" s="71"/>
      <c r="CD221" s="20" t="e">
        <f t="shared" si="23"/>
        <v>#N/A</v>
      </c>
    </row>
    <row r="222" spans="1:82" ht="61.5" x14ac:dyDescent="0.85">
      <c r="A222" s="20">
        <v>1</v>
      </c>
      <c r="B222" s="66">
        <f>SUBTOTAL(103,$A$22:A222)</f>
        <v>198</v>
      </c>
      <c r="C222" s="24" t="s">
        <v>1415</v>
      </c>
      <c r="D222" s="31">
        <f t="shared" si="22"/>
        <v>7310851.2000000002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3">
        <v>4</v>
      </c>
      <c r="L222" s="31">
        <v>7310851.2000000002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4" t="s">
        <v>274</v>
      </c>
      <c r="AG222" s="34">
        <v>2020</v>
      </c>
      <c r="AH222" s="35" t="s">
        <v>274</v>
      </c>
      <c r="BZ222" s="71"/>
      <c r="CD222" s="20" t="e">
        <f t="shared" si="23"/>
        <v>#N/A</v>
      </c>
    </row>
    <row r="223" spans="1:82" ht="61.5" x14ac:dyDescent="0.85">
      <c r="A223" s="20">
        <v>1</v>
      </c>
      <c r="B223" s="66">
        <f>SUBTOTAL(103,$A$22:A223)</f>
        <v>199</v>
      </c>
      <c r="C223" s="24" t="s">
        <v>1416</v>
      </c>
      <c r="D223" s="31">
        <f t="shared" si="22"/>
        <v>5327196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3">
        <v>3</v>
      </c>
      <c r="L223" s="31">
        <v>5327196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4" t="s">
        <v>274</v>
      </c>
      <c r="AG223" s="34">
        <v>2020</v>
      </c>
      <c r="AH223" s="35" t="s">
        <v>274</v>
      </c>
      <c r="BZ223" s="71"/>
      <c r="CD223" s="20" t="e">
        <f t="shared" si="23"/>
        <v>#N/A</v>
      </c>
    </row>
    <row r="224" spans="1:82" ht="61.5" x14ac:dyDescent="0.85">
      <c r="A224" s="20">
        <v>1</v>
      </c>
      <c r="B224" s="66">
        <f>SUBTOTAL(103,$A$22:A224)</f>
        <v>200</v>
      </c>
      <c r="C224" s="24" t="s">
        <v>1417</v>
      </c>
      <c r="D224" s="31">
        <f t="shared" si="22"/>
        <v>7367915.9199999999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3">
        <v>4</v>
      </c>
      <c r="L224" s="31">
        <v>7367915.9199999999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4" t="s">
        <v>274</v>
      </c>
      <c r="AG224" s="34">
        <v>2020</v>
      </c>
      <c r="AH224" s="35" t="s">
        <v>274</v>
      </c>
      <c r="BZ224" s="71"/>
      <c r="CD224" s="20" t="e">
        <f t="shared" si="23"/>
        <v>#N/A</v>
      </c>
    </row>
    <row r="225" spans="1:82" ht="61.5" x14ac:dyDescent="0.85">
      <c r="A225" s="20">
        <v>1</v>
      </c>
      <c r="B225" s="66">
        <f>SUBTOTAL(103,$A$22:A225)</f>
        <v>201</v>
      </c>
      <c r="C225" s="24" t="s">
        <v>1418</v>
      </c>
      <c r="D225" s="31">
        <f t="shared" si="22"/>
        <v>5462413.6200000001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3">
        <v>3</v>
      </c>
      <c r="L225" s="31">
        <v>5462413.6200000001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4" t="s">
        <v>274</v>
      </c>
      <c r="AG225" s="34">
        <v>2020</v>
      </c>
      <c r="AH225" s="35" t="s">
        <v>274</v>
      </c>
      <c r="BZ225" s="71"/>
      <c r="CD225" s="20" t="e">
        <f t="shared" si="23"/>
        <v>#N/A</v>
      </c>
    </row>
    <row r="226" spans="1:82" ht="61.5" x14ac:dyDescent="0.85">
      <c r="A226" s="20">
        <v>1</v>
      </c>
      <c r="B226" s="66">
        <f>SUBTOTAL(103,$A$22:A226)</f>
        <v>202</v>
      </c>
      <c r="C226" s="24" t="s">
        <v>1581</v>
      </c>
      <c r="D226" s="31">
        <f t="shared" si="22"/>
        <v>1452147.29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3">
        <v>1</v>
      </c>
      <c r="L226" s="31">
        <v>1452147.29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4" t="s">
        <v>274</v>
      </c>
      <c r="AG226" s="34">
        <v>2020</v>
      </c>
      <c r="AH226" s="35" t="s">
        <v>274</v>
      </c>
      <c r="BZ226" s="71"/>
      <c r="CD226" s="20" t="e">
        <f t="shared" si="23"/>
        <v>#N/A</v>
      </c>
    </row>
    <row r="227" spans="1:82" ht="61.5" x14ac:dyDescent="0.85">
      <c r="A227" s="20">
        <v>1</v>
      </c>
      <c r="B227" s="66">
        <f>SUBTOTAL(103,$A$22:A227)</f>
        <v>203</v>
      </c>
      <c r="C227" s="24" t="s">
        <v>1582</v>
      </c>
      <c r="D227" s="31">
        <f t="shared" si="22"/>
        <v>2915220.6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3">
        <v>2</v>
      </c>
      <c r="L227" s="31">
        <v>2915220.6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4" t="s">
        <v>274</v>
      </c>
      <c r="AG227" s="34">
        <v>2020</v>
      </c>
      <c r="AH227" s="35" t="s">
        <v>274</v>
      </c>
      <c r="BZ227" s="71"/>
      <c r="CD227" s="20" t="e">
        <f t="shared" si="23"/>
        <v>#N/A</v>
      </c>
    </row>
    <row r="228" spans="1:82" ht="61.5" x14ac:dyDescent="0.85">
      <c r="A228" s="20">
        <v>1</v>
      </c>
      <c r="B228" s="66">
        <f>SUBTOTAL(103,$A$22:A228)</f>
        <v>204</v>
      </c>
      <c r="C228" s="24" t="s">
        <v>1583</v>
      </c>
      <c r="D228" s="31">
        <f>E228+F228+G228+H228+I228+J228+L228+N228+P228+R228+T228+U228+V228+W228+X228+Y228+Z228+AA228+AB228+AC228+AD228+AE228</f>
        <v>4354761.09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3">
        <v>3</v>
      </c>
      <c r="L228" s="31">
        <v>4354761.09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4" t="s">
        <v>274</v>
      </c>
      <c r="AG228" s="34">
        <v>2020</v>
      </c>
      <c r="AH228" s="35" t="s">
        <v>274</v>
      </c>
      <c r="BZ228" s="71"/>
      <c r="CD228" s="20" t="e">
        <f t="shared" si="23"/>
        <v>#N/A</v>
      </c>
    </row>
    <row r="229" spans="1:82" ht="61.5" x14ac:dyDescent="0.85">
      <c r="A229" s="20">
        <v>1</v>
      </c>
      <c r="B229" s="66">
        <f>SUBTOTAL(103,$A$22:A229)</f>
        <v>205</v>
      </c>
      <c r="C229" s="24" t="s">
        <v>1719</v>
      </c>
      <c r="D229" s="31">
        <f t="shared" si="22"/>
        <v>213150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3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210000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f>ROUND(V229*1.5%,2)</f>
        <v>3150</v>
      </c>
      <c r="AD229" s="31">
        <v>0</v>
      </c>
      <c r="AE229" s="31">
        <v>0</v>
      </c>
      <c r="AF229" s="34" t="s">
        <v>274</v>
      </c>
      <c r="AG229" s="34">
        <v>2020</v>
      </c>
      <c r="AH229" s="35">
        <v>2020</v>
      </c>
      <c r="BZ229" s="71"/>
      <c r="CD229" s="20" t="e">
        <f t="shared" si="23"/>
        <v>#N/A</v>
      </c>
    </row>
    <row r="230" spans="1:82" ht="61.5" x14ac:dyDescent="0.85">
      <c r="B230" s="24" t="s">
        <v>783</v>
      </c>
      <c r="C230" s="129"/>
      <c r="D230" s="31">
        <f>SUM(D231:D236)</f>
        <v>52684989.379999995</v>
      </c>
      <c r="E230" s="31">
        <f t="shared" ref="E230:AD230" si="24">SUM(E231:E236)</f>
        <v>1086183.55</v>
      </c>
      <c r="F230" s="31">
        <f t="shared" si="24"/>
        <v>2434351.71</v>
      </c>
      <c r="G230" s="31">
        <f t="shared" si="24"/>
        <v>6013370.9299999997</v>
      </c>
      <c r="H230" s="31">
        <f t="shared" si="24"/>
        <v>2064222.35</v>
      </c>
      <c r="I230" s="31">
        <f t="shared" si="24"/>
        <v>4507188.75</v>
      </c>
      <c r="J230" s="31">
        <f t="shared" si="24"/>
        <v>0</v>
      </c>
      <c r="K230" s="33">
        <f t="shared" si="24"/>
        <v>6</v>
      </c>
      <c r="L230" s="31">
        <f t="shared" si="24"/>
        <v>12703637.84</v>
      </c>
      <c r="M230" s="31">
        <f t="shared" si="24"/>
        <v>386.2</v>
      </c>
      <c r="N230" s="31">
        <f t="shared" si="24"/>
        <v>2075284.04</v>
      </c>
      <c r="O230" s="31">
        <f t="shared" si="24"/>
        <v>0</v>
      </c>
      <c r="P230" s="31">
        <f t="shared" si="24"/>
        <v>0</v>
      </c>
      <c r="Q230" s="31">
        <f t="shared" si="24"/>
        <v>11118.4</v>
      </c>
      <c r="R230" s="31">
        <f t="shared" si="24"/>
        <v>20823744.719999999</v>
      </c>
      <c r="S230" s="31">
        <f t="shared" si="24"/>
        <v>0</v>
      </c>
      <c r="T230" s="31">
        <f t="shared" si="24"/>
        <v>0</v>
      </c>
      <c r="U230" s="31">
        <f t="shared" si="24"/>
        <v>0</v>
      </c>
      <c r="V230" s="31">
        <f t="shared" si="24"/>
        <v>0</v>
      </c>
      <c r="W230" s="31">
        <f t="shared" si="24"/>
        <v>0</v>
      </c>
      <c r="X230" s="31">
        <f t="shared" si="24"/>
        <v>0</v>
      </c>
      <c r="Y230" s="31">
        <f t="shared" si="24"/>
        <v>0</v>
      </c>
      <c r="Z230" s="31">
        <f t="shared" si="24"/>
        <v>0</v>
      </c>
      <c r="AA230" s="31">
        <f t="shared" si="24"/>
        <v>0</v>
      </c>
      <c r="AB230" s="31">
        <f t="shared" si="24"/>
        <v>0</v>
      </c>
      <c r="AC230" s="31">
        <f t="shared" si="24"/>
        <v>585065.19000000006</v>
      </c>
      <c r="AD230" s="31">
        <f t="shared" si="24"/>
        <v>391940.30000000005</v>
      </c>
      <c r="AE230" s="31">
        <f>SUM(AE231:AE236)</f>
        <v>0</v>
      </c>
      <c r="AF230" s="72" t="s">
        <v>776</v>
      </c>
      <c r="AG230" s="72" t="s">
        <v>776</v>
      </c>
      <c r="AH230" s="88" t="s">
        <v>776</v>
      </c>
      <c r="AT230" s="20" t="e">
        <f>VLOOKUP(C230,AW:AX,2,FALSE)</f>
        <v>#N/A</v>
      </c>
      <c r="BZ230" s="71">
        <v>51784138.459999993</v>
      </c>
      <c r="CB230" s="71">
        <f>BZ230-D230</f>
        <v>-900850.92000000179</v>
      </c>
      <c r="CD230" s="20" t="e">
        <f t="shared" si="23"/>
        <v>#N/A</v>
      </c>
    </row>
    <row r="231" spans="1:82" ht="61.5" x14ac:dyDescent="0.85">
      <c r="A231" s="20">
        <v>1</v>
      </c>
      <c r="B231" s="66">
        <f>SUBTOTAL(103,$A$22:A231)</f>
        <v>206</v>
      </c>
      <c r="C231" s="24" t="s">
        <v>389</v>
      </c>
      <c r="D231" s="31">
        <f t="shared" ref="D231:D236" si="25">E231+F231+G231+H231+I231+J231+L231+N231+P231+R231+T231+U231+V231+W231+X231+Y231+Z231+AA231+AB231+AC231+AD231+AE231</f>
        <v>2106413.2999999998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3">
        <v>0</v>
      </c>
      <c r="L231" s="31">
        <v>0</v>
      </c>
      <c r="M231" s="31">
        <v>386.2</v>
      </c>
      <c r="N231" s="31">
        <f>1912188.44+163095.6</f>
        <v>2075284.04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f>ROUND(N231*1.5%,2)</f>
        <v>31129.26</v>
      </c>
      <c r="AD231" s="31">
        <v>0</v>
      </c>
      <c r="AE231" s="31">
        <v>0</v>
      </c>
      <c r="AF231" s="34" t="s">
        <v>274</v>
      </c>
      <c r="AG231" s="34">
        <v>2020</v>
      </c>
      <c r="AH231" s="35">
        <v>2020</v>
      </c>
      <c r="AT231" s="20" t="e">
        <f>VLOOKUP(C231,AW:AX,2,FALSE)</f>
        <v>#N/A</v>
      </c>
      <c r="BZ231" s="71"/>
      <c r="CB231" s="71"/>
      <c r="CD231" s="20">
        <f t="shared" si="23"/>
        <v>386.2</v>
      </c>
    </row>
    <row r="232" spans="1:82" ht="61.5" x14ac:dyDescent="0.85">
      <c r="A232" s="20">
        <v>1</v>
      </c>
      <c r="B232" s="66">
        <f>SUBTOTAL(103,$A$22:A232)</f>
        <v>207</v>
      </c>
      <c r="C232" s="24" t="s">
        <v>390</v>
      </c>
      <c r="D232" s="31">
        <f t="shared" si="25"/>
        <v>7016916.6500000004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3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2522.4</v>
      </c>
      <c r="R232" s="31">
        <f>5832512.32+ROUND(900850.92*100/101.5,2)</f>
        <v>6720050.1699999999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f>ROUND(R232*1.5%,2)</f>
        <v>100800.75</v>
      </c>
      <c r="AD232" s="31">
        <v>196065.73</v>
      </c>
      <c r="AE232" s="31">
        <v>0</v>
      </c>
      <c r="AF232" s="34">
        <v>2020</v>
      </c>
      <c r="AG232" s="34">
        <v>2020</v>
      </c>
      <c r="AH232" s="35">
        <v>2020</v>
      </c>
      <c r="AT232" s="20" t="e">
        <f>VLOOKUP(C232,AW:AX,2,FALSE)</f>
        <v>#N/A</v>
      </c>
      <c r="BZ232" s="71"/>
      <c r="CD232" s="20" t="e">
        <f t="shared" si="23"/>
        <v>#N/A</v>
      </c>
    </row>
    <row r="233" spans="1:82" ht="61.5" x14ac:dyDescent="0.85">
      <c r="A233" s="20">
        <v>1</v>
      </c>
      <c r="B233" s="66">
        <f>SUBTOTAL(103,$A$22:A233)</f>
        <v>208</v>
      </c>
      <c r="C233" s="24" t="s">
        <v>391</v>
      </c>
      <c r="D233" s="31">
        <f t="shared" si="25"/>
        <v>14511124.540000001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3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8596</v>
      </c>
      <c r="R233" s="31">
        <v>14103694.550000001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f>ROUND(R233*1.5%,2)</f>
        <v>211555.42</v>
      </c>
      <c r="AD233" s="31">
        <v>195874.57</v>
      </c>
      <c r="AE233" s="31">
        <v>0</v>
      </c>
      <c r="AF233" s="34">
        <v>2020</v>
      </c>
      <c r="AG233" s="34">
        <v>2020</v>
      </c>
      <c r="AH233" s="35">
        <v>2020</v>
      </c>
      <c r="AT233" s="20" t="e">
        <f>VLOOKUP(C233,AW:AX,2,FALSE)</f>
        <v>#N/A</v>
      </c>
      <c r="BZ233" s="71"/>
      <c r="CD233" s="20" t="e">
        <f t="shared" si="23"/>
        <v>#N/A</v>
      </c>
    </row>
    <row r="234" spans="1:82" ht="61.5" x14ac:dyDescent="0.85">
      <c r="A234" s="20">
        <v>1</v>
      </c>
      <c r="B234" s="66">
        <f>SUBTOTAL(103,$A$22:A234)</f>
        <v>209</v>
      </c>
      <c r="C234" s="24" t="s">
        <v>1203</v>
      </c>
      <c r="D234" s="31">
        <f t="shared" si="25"/>
        <v>16346897.049999999</v>
      </c>
      <c r="E234" s="31">
        <v>1086183.55</v>
      </c>
      <c r="F234" s="31">
        <v>2434351.71</v>
      </c>
      <c r="G234" s="31">
        <f>5505401.14+507969.79</f>
        <v>6013370.9299999997</v>
      </c>
      <c r="H234" s="31">
        <v>2064222.35</v>
      </c>
      <c r="I234" s="31">
        <v>4507188.75</v>
      </c>
      <c r="J234" s="31">
        <v>0</v>
      </c>
      <c r="K234" s="33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f>ROUND((E234+F234+G234+H234+I234+J234)*1.5%,2)</f>
        <v>241579.76</v>
      </c>
      <c r="AD234" s="31">
        <v>0</v>
      </c>
      <c r="AE234" s="31">
        <v>0</v>
      </c>
      <c r="AF234" s="34" t="s">
        <v>274</v>
      </c>
      <c r="AG234" s="34">
        <v>2020</v>
      </c>
      <c r="AH234" s="35">
        <v>2020</v>
      </c>
      <c r="BZ234" s="71"/>
      <c r="CD234" s="20" t="e">
        <f t="shared" si="23"/>
        <v>#N/A</v>
      </c>
    </row>
    <row r="235" spans="1:82" ht="61.5" x14ac:dyDescent="0.85">
      <c r="A235" s="20">
        <v>1</v>
      </c>
      <c r="B235" s="66">
        <f>SUBTOTAL(103,$A$22:A235)</f>
        <v>210</v>
      </c>
      <c r="C235" s="24" t="s">
        <v>1204</v>
      </c>
      <c r="D235" s="31">
        <f t="shared" si="25"/>
        <v>4570000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3">
        <v>2</v>
      </c>
      <c r="L235" s="31">
        <v>4570000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4" t="s">
        <v>274</v>
      </c>
      <c r="AG235" s="34">
        <v>2020</v>
      </c>
      <c r="AH235" s="35" t="s">
        <v>274</v>
      </c>
      <c r="BZ235" s="71"/>
      <c r="CD235" s="20" t="e">
        <f t="shared" si="23"/>
        <v>#N/A</v>
      </c>
    </row>
    <row r="236" spans="1:82" ht="61.5" x14ac:dyDescent="0.85">
      <c r="A236" s="20">
        <v>1</v>
      </c>
      <c r="B236" s="66">
        <f>SUBTOTAL(103,$A$22:A236)</f>
        <v>211</v>
      </c>
      <c r="C236" s="24" t="s">
        <v>1600</v>
      </c>
      <c r="D236" s="31">
        <f t="shared" si="25"/>
        <v>8133637.8399999999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3">
        <v>4</v>
      </c>
      <c r="L236" s="31">
        <f>6453065+1680572.84</f>
        <v>8133637.8399999999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4" t="s">
        <v>274</v>
      </c>
      <c r="AG236" s="34">
        <v>2020</v>
      </c>
      <c r="AH236" s="35" t="s">
        <v>274</v>
      </c>
      <c r="BZ236" s="71"/>
      <c r="CD236" s="20" t="e">
        <f t="shared" si="23"/>
        <v>#N/A</v>
      </c>
    </row>
    <row r="237" spans="1:82" ht="61.5" x14ac:dyDescent="0.85">
      <c r="B237" s="24" t="s">
        <v>840</v>
      </c>
      <c r="C237" s="129"/>
      <c r="D237" s="31">
        <f t="shared" ref="D237:AE237" si="26">SUM(D238:D264)</f>
        <v>89614434.920000017</v>
      </c>
      <c r="E237" s="31">
        <f t="shared" si="26"/>
        <v>682532.23</v>
      </c>
      <c r="F237" s="31">
        <f t="shared" si="26"/>
        <v>1291083.82</v>
      </c>
      <c r="G237" s="31">
        <f t="shared" si="26"/>
        <v>567639.41</v>
      </c>
      <c r="H237" s="31">
        <f t="shared" si="26"/>
        <v>442417.17</v>
      </c>
      <c r="I237" s="31">
        <f t="shared" si="26"/>
        <v>0</v>
      </c>
      <c r="J237" s="31">
        <f t="shared" si="26"/>
        <v>0</v>
      </c>
      <c r="K237" s="33">
        <f t="shared" si="26"/>
        <v>5</v>
      </c>
      <c r="L237" s="31">
        <f t="shared" si="26"/>
        <v>9545253.8399999999</v>
      </c>
      <c r="M237" s="31">
        <f t="shared" si="26"/>
        <v>15904.360000000002</v>
      </c>
      <c r="N237" s="31">
        <f t="shared" si="26"/>
        <v>65346627.029999994</v>
      </c>
      <c r="O237" s="31">
        <f t="shared" si="26"/>
        <v>0</v>
      </c>
      <c r="P237" s="31">
        <f t="shared" si="26"/>
        <v>0</v>
      </c>
      <c r="Q237" s="31">
        <f t="shared" si="26"/>
        <v>795.9</v>
      </c>
      <c r="R237" s="31">
        <f t="shared" si="26"/>
        <v>1788756.15</v>
      </c>
      <c r="S237" s="31">
        <f t="shared" si="26"/>
        <v>136.80000000000001</v>
      </c>
      <c r="T237" s="31">
        <f t="shared" si="26"/>
        <v>1421419.39</v>
      </c>
      <c r="U237" s="31">
        <f t="shared" si="26"/>
        <v>5969062.7699999996</v>
      </c>
      <c r="V237" s="31">
        <f t="shared" si="26"/>
        <v>0</v>
      </c>
      <c r="W237" s="31">
        <f t="shared" si="26"/>
        <v>0</v>
      </c>
      <c r="X237" s="31">
        <f t="shared" si="26"/>
        <v>0</v>
      </c>
      <c r="Y237" s="31">
        <f t="shared" si="26"/>
        <v>0</v>
      </c>
      <c r="Z237" s="31">
        <f t="shared" si="26"/>
        <v>0</v>
      </c>
      <c r="AA237" s="31">
        <f t="shared" si="26"/>
        <v>0</v>
      </c>
      <c r="AB237" s="31">
        <f t="shared" si="26"/>
        <v>0</v>
      </c>
      <c r="AC237" s="31">
        <f t="shared" si="26"/>
        <v>1162643.0499999998</v>
      </c>
      <c r="AD237" s="31">
        <f t="shared" si="26"/>
        <v>1277000.06</v>
      </c>
      <c r="AE237" s="31">
        <f t="shared" si="26"/>
        <v>120000</v>
      </c>
      <c r="AF237" s="72" t="s">
        <v>776</v>
      </c>
      <c r="AG237" s="72" t="s">
        <v>776</v>
      </c>
      <c r="AH237" s="88" t="s">
        <v>776</v>
      </c>
      <c r="AT237" s="20" t="e">
        <f t="shared" ref="AT237:AT247" si="27">VLOOKUP(C237,AW:AX,2,FALSE)</f>
        <v>#N/A</v>
      </c>
      <c r="BZ237" s="31">
        <v>113740245.04000002</v>
      </c>
      <c r="CA237" s="31"/>
      <c r="CB237" s="31">
        <f>BZ237-D237</f>
        <v>24125810.120000005</v>
      </c>
      <c r="CD237" s="20" t="e">
        <f t="shared" si="23"/>
        <v>#N/A</v>
      </c>
    </row>
    <row r="238" spans="1:82" ht="61.5" x14ac:dyDescent="0.85">
      <c r="A238" s="20">
        <v>1</v>
      </c>
      <c r="B238" s="66">
        <f>SUBTOTAL(103,$A$22:A238)</f>
        <v>212</v>
      </c>
      <c r="C238" s="24" t="s">
        <v>634</v>
      </c>
      <c r="D238" s="31">
        <f t="shared" ref="D238:D264" si="28">E238+F238+G238+H238+I238+J238+L238+N238+P238+R238+T238+U238+V238+W238+X238+Y238+Z238+AA238+AB238+AC238+AD238+AE238</f>
        <v>4514092.07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3">
        <v>2</v>
      </c>
      <c r="L238" s="31">
        <v>4514092.07</v>
      </c>
      <c r="M238" s="31">
        <v>0</v>
      </c>
      <c r="N238" s="31">
        <v>0</v>
      </c>
      <c r="O238" s="36">
        <v>0</v>
      </c>
      <c r="P238" s="36">
        <v>0</v>
      </c>
      <c r="Q238" s="36">
        <v>0</v>
      </c>
      <c r="R238" s="36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4" t="s">
        <v>274</v>
      </c>
      <c r="AG238" s="34">
        <v>2020</v>
      </c>
      <c r="AH238" s="35" t="s">
        <v>274</v>
      </c>
      <c r="AT238" s="20" t="e">
        <f t="shared" si="27"/>
        <v>#N/A</v>
      </c>
      <c r="BZ238" s="71"/>
      <c r="CD238" s="20" t="e">
        <f t="shared" si="23"/>
        <v>#N/A</v>
      </c>
    </row>
    <row r="239" spans="1:82" ht="61.5" x14ac:dyDescent="0.85">
      <c r="A239" s="20">
        <v>1</v>
      </c>
      <c r="B239" s="66">
        <f>SUBTOTAL(103,$A$22:A239)</f>
        <v>213</v>
      </c>
      <c r="C239" s="24" t="s">
        <v>639</v>
      </c>
      <c r="D239" s="31">
        <f t="shared" si="28"/>
        <v>6206854.4400000004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3">
        <v>0</v>
      </c>
      <c r="L239" s="31">
        <v>0</v>
      </c>
      <c r="M239" s="31">
        <v>0</v>
      </c>
      <c r="N239" s="31">
        <v>0</v>
      </c>
      <c r="O239" s="36">
        <v>0</v>
      </c>
      <c r="P239" s="36">
        <v>0</v>
      </c>
      <c r="Q239" s="36">
        <v>0</v>
      </c>
      <c r="R239" s="36">
        <v>0</v>
      </c>
      <c r="S239" s="31">
        <v>0</v>
      </c>
      <c r="T239" s="31">
        <v>0</v>
      </c>
      <c r="U239" s="31">
        <v>5969062.7699999996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f>ROUND(U239*1.5%,2)</f>
        <v>89535.94</v>
      </c>
      <c r="AD239" s="31">
        <v>148255.73000000001</v>
      </c>
      <c r="AE239" s="31">
        <v>0</v>
      </c>
      <c r="AF239" s="34">
        <v>2020</v>
      </c>
      <c r="AG239" s="34">
        <v>2020</v>
      </c>
      <c r="AH239" s="35">
        <v>2020</v>
      </c>
      <c r="AT239" s="20" t="e">
        <f t="shared" si="27"/>
        <v>#N/A</v>
      </c>
      <c r="BZ239" s="71"/>
      <c r="CD239" s="20" t="e">
        <f t="shared" si="23"/>
        <v>#N/A</v>
      </c>
    </row>
    <row r="240" spans="1:82" ht="61.5" x14ac:dyDescent="0.85">
      <c r="A240" s="20">
        <v>1</v>
      </c>
      <c r="B240" s="66">
        <f>SUBTOTAL(103,$A$22:A240)</f>
        <v>214</v>
      </c>
      <c r="C240" s="24" t="s">
        <v>640</v>
      </c>
      <c r="D240" s="31">
        <f t="shared" si="28"/>
        <v>372359.35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3">
        <v>0</v>
      </c>
      <c r="L240" s="31">
        <v>0</v>
      </c>
      <c r="M240" s="31">
        <v>0</v>
      </c>
      <c r="N240" s="31">
        <v>0</v>
      </c>
      <c r="O240" s="36">
        <v>0</v>
      </c>
      <c r="P240" s="36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f>ROUND((R240+T240)*1.5%,2)</f>
        <v>0</v>
      </c>
      <c r="AD240" s="31">
        <v>372359.35</v>
      </c>
      <c r="AE240" s="31">
        <v>0</v>
      </c>
      <c r="AF240" s="34">
        <v>2020</v>
      </c>
      <c r="AG240" s="35" t="s">
        <v>274</v>
      </c>
      <c r="AH240" s="35" t="s">
        <v>274</v>
      </c>
      <c r="AT240" s="20" t="e">
        <f t="shared" si="27"/>
        <v>#N/A</v>
      </c>
      <c r="BZ240" s="71"/>
      <c r="CD240" s="20" t="e">
        <f t="shared" si="23"/>
        <v>#N/A</v>
      </c>
    </row>
    <row r="241" spans="1:82" ht="61.5" x14ac:dyDescent="0.85">
      <c r="A241" s="20">
        <v>1</v>
      </c>
      <c r="B241" s="66">
        <f>SUBTOTAL(103,$A$22:A241)</f>
        <v>215</v>
      </c>
      <c r="C241" s="24" t="s">
        <v>643</v>
      </c>
      <c r="D241" s="31">
        <f t="shared" si="28"/>
        <v>3407945.42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3">
        <v>2</v>
      </c>
      <c r="L241" s="31">
        <v>3407945.42</v>
      </c>
      <c r="M241" s="31">
        <v>0</v>
      </c>
      <c r="N241" s="31">
        <v>0</v>
      </c>
      <c r="O241" s="36">
        <v>0</v>
      </c>
      <c r="P241" s="36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4" t="s">
        <v>274</v>
      </c>
      <c r="AG241" s="34">
        <v>2020</v>
      </c>
      <c r="AH241" s="35" t="s">
        <v>274</v>
      </c>
      <c r="AT241" s="20">
        <f t="shared" si="27"/>
        <v>1</v>
      </c>
      <c r="BZ241" s="71"/>
      <c r="CD241" s="20" t="e">
        <f t="shared" si="23"/>
        <v>#N/A</v>
      </c>
    </row>
    <row r="242" spans="1:82" ht="61.5" x14ac:dyDescent="0.85">
      <c r="A242" s="20">
        <v>1</v>
      </c>
      <c r="B242" s="66">
        <f>SUBTOTAL(103,$A$22:A242)</f>
        <v>216</v>
      </c>
      <c r="C242" s="24" t="s">
        <v>645</v>
      </c>
      <c r="D242" s="31">
        <f t="shared" si="28"/>
        <v>2597044.75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3">
        <v>0</v>
      </c>
      <c r="L242" s="31">
        <v>0</v>
      </c>
      <c r="M242" s="31">
        <v>486.27</v>
      </c>
      <c r="N242" s="31">
        <f>2443406.9+65152.14</f>
        <v>2508559.04</v>
      </c>
      <c r="O242" s="36">
        <v>0</v>
      </c>
      <c r="P242" s="36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f>ROUND(N242*1.5%,2)</f>
        <v>37628.39</v>
      </c>
      <c r="AD242" s="31">
        <v>50857.32</v>
      </c>
      <c r="AE242" s="31">
        <v>0</v>
      </c>
      <c r="AF242" s="34">
        <v>2020</v>
      </c>
      <c r="AG242" s="34">
        <v>2020</v>
      </c>
      <c r="AH242" s="35">
        <v>2020</v>
      </c>
      <c r="AT242" s="20" t="e">
        <f t="shared" si="27"/>
        <v>#N/A</v>
      </c>
      <c r="BZ242" s="71"/>
      <c r="CD242" s="20">
        <f t="shared" si="23"/>
        <v>486.27</v>
      </c>
    </row>
    <row r="243" spans="1:82" ht="61.5" x14ac:dyDescent="0.85">
      <c r="A243" s="20">
        <v>1</v>
      </c>
      <c r="B243" s="66">
        <f>SUBTOTAL(103,$A$22:A243)</f>
        <v>217</v>
      </c>
      <c r="C243" s="24" t="s">
        <v>648</v>
      </c>
      <c r="D243" s="31">
        <f t="shared" si="28"/>
        <v>3150844.62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3">
        <v>0</v>
      </c>
      <c r="L243" s="31">
        <v>0</v>
      </c>
      <c r="M243" s="31">
        <v>586.70000000000005</v>
      </c>
      <c r="N243" s="31">
        <v>2998318.93</v>
      </c>
      <c r="O243" s="36">
        <v>0</v>
      </c>
      <c r="P243" s="36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f>ROUND(N243*1.5%,2)</f>
        <v>44974.78</v>
      </c>
      <c r="AD243" s="31">
        <v>107550.91</v>
      </c>
      <c r="AE243" s="31">
        <v>0</v>
      </c>
      <c r="AF243" s="34">
        <v>2020</v>
      </c>
      <c r="AG243" s="34">
        <v>2020</v>
      </c>
      <c r="AH243" s="35">
        <v>2020</v>
      </c>
      <c r="AT243" s="20" t="e">
        <f t="shared" si="27"/>
        <v>#N/A</v>
      </c>
      <c r="BZ243" s="71"/>
      <c r="CD243" s="20">
        <f t="shared" si="23"/>
        <v>586.70000000000005</v>
      </c>
    </row>
    <row r="244" spans="1:82" ht="61.5" x14ac:dyDescent="0.85">
      <c r="A244" s="20">
        <v>1</v>
      </c>
      <c r="B244" s="66">
        <f>SUBTOTAL(103,$A$22:A244)</f>
        <v>218</v>
      </c>
      <c r="C244" s="24" t="s">
        <v>649</v>
      </c>
      <c r="D244" s="31">
        <f t="shared" si="28"/>
        <v>1519430.92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3">
        <v>0</v>
      </c>
      <c r="L244" s="31">
        <v>0</v>
      </c>
      <c r="M244" s="31">
        <v>384.56</v>
      </c>
      <c r="N244" s="31">
        <v>1452982.14</v>
      </c>
      <c r="O244" s="36">
        <v>0</v>
      </c>
      <c r="P244" s="36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f>ROUND(N244*1.5%,2)</f>
        <v>21794.73</v>
      </c>
      <c r="AD244" s="31">
        <v>44654.05</v>
      </c>
      <c r="AE244" s="31">
        <v>0</v>
      </c>
      <c r="AF244" s="34">
        <v>2020</v>
      </c>
      <c r="AG244" s="34">
        <v>2020</v>
      </c>
      <c r="AH244" s="35">
        <v>2020</v>
      </c>
      <c r="AT244" s="20" t="e">
        <f t="shared" si="27"/>
        <v>#N/A</v>
      </c>
      <c r="BZ244" s="71"/>
      <c r="CD244" s="20">
        <f t="shared" si="23"/>
        <v>384.56</v>
      </c>
    </row>
    <row r="245" spans="1:82" ht="61.5" x14ac:dyDescent="0.85">
      <c r="A245" s="20">
        <v>1</v>
      </c>
      <c r="B245" s="66">
        <f>SUBTOTAL(103,$A$22:A245)</f>
        <v>219</v>
      </c>
      <c r="C245" s="24" t="s">
        <v>650</v>
      </c>
      <c r="D245" s="31">
        <f t="shared" si="28"/>
        <v>1623216.35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3">
        <v>1</v>
      </c>
      <c r="L245" s="31">
        <v>1623216.35</v>
      </c>
      <c r="M245" s="31">
        <v>0</v>
      </c>
      <c r="N245" s="31">
        <v>0</v>
      </c>
      <c r="O245" s="36">
        <v>0</v>
      </c>
      <c r="P245" s="36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4" t="s">
        <v>274</v>
      </c>
      <c r="AG245" s="34">
        <v>2020</v>
      </c>
      <c r="AH245" s="35" t="s">
        <v>274</v>
      </c>
      <c r="AT245" s="20" t="e">
        <f t="shared" si="27"/>
        <v>#N/A</v>
      </c>
      <c r="BZ245" s="71"/>
      <c r="CD245" s="20" t="e">
        <f t="shared" si="23"/>
        <v>#N/A</v>
      </c>
    </row>
    <row r="246" spans="1:82" ht="61.5" x14ac:dyDescent="0.85">
      <c r="A246" s="20">
        <v>1</v>
      </c>
      <c r="B246" s="66">
        <f>SUBTOTAL(103,$A$22:A246)</f>
        <v>220</v>
      </c>
      <c r="C246" s="24" t="s">
        <v>652</v>
      </c>
      <c r="D246" s="31">
        <f t="shared" si="28"/>
        <v>1094145.4000000001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3">
        <v>0</v>
      </c>
      <c r="L246" s="31">
        <v>0</v>
      </c>
      <c r="M246" s="31">
        <v>240</v>
      </c>
      <c r="N246" s="31">
        <f>1116295.57-118226.6+31398.62</f>
        <v>1029467.5900000001</v>
      </c>
      <c r="O246" s="36">
        <v>0</v>
      </c>
      <c r="P246" s="36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f t="shared" ref="AC246:AC251" si="29">ROUND(N246*1.5%,2)</f>
        <v>15442.01</v>
      </c>
      <c r="AD246" s="31">
        <v>49235.8</v>
      </c>
      <c r="AE246" s="31">
        <v>0</v>
      </c>
      <c r="AF246" s="34">
        <v>2020</v>
      </c>
      <c r="AG246" s="34">
        <v>2020</v>
      </c>
      <c r="AH246" s="35">
        <v>2020</v>
      </c>
      <c r="AT246" s="20" t="e">
        <f t="shared" si="27"/>
        <v>#N/A</v>
      </c>
      <c r="BZ246" s="71"/>
      <c r="CD246" s="20" t="e">
        <f t="shared" si="23"/>
        <v>#N/A</v>
      </c>
    </row>
    <row r="247" spans="1:82" ht="61.5" x14ac:dyDescent="0.85">
      <c r="A247" s="20">
        <v>1</v>
      </c>
      <c r="B247" s="66">
        <f>SUBTOTAL(103,$A$22:A247)</f>
        <v>221</v>
      </c>
      <c r="C247" s="24" t="s">
        <v>656</v>
      </c>
      <c r="D247" s="31">
        <f t="shared" si="28"/>
        <v>1846706.18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3">
        <v>0</v>
      </c>
      <c r="L247" s="31">
        <v>0</v>
      </c>
      <c r="M247" s="31">
        <v>563.1</v>
      </c>
      <c r="N247" s="31">
        <v>1819414.96</v>
      </c>
      <c r="O247" s="36">
        <v>0</v>
      </c>
      <c r="P247" s="36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f t="shared" si="29"/>
        <v>27291.22</v>
      </c>
      <c r="AD247" s="31">
        <v>0</v>
      </c>
      <c r="AE247" s="31">
        <v>0</v>
      </c>
      <c r="AF247" s="34" t="s">
        <v>274</v>
      </c>
      <c r="AG247" s="34">
        <v>2020</v>
      </c>
      <c r="AH247" s="35">
        <v>2020</v>
      </c>
      <c r="AT247" s="20" t="e">
        <f t="shared" si="27"/>
        <v>#N/A</v>
      </c>
      <c r="BZ247" s="71"/>
      <c r="CD247" s="20">
        <f t="shared" si="23"/>
        <v>563.1</v>
      </c>
    </row>
    <row r="248" spans="1:82" ht="61.5" x14ac:dyDescent="0.85">
      <c r="A248" s="20">
        <v>1</v>
      </c>
      <c r="B248" s="66">
        <f>SUBTOTAL(103,$A$22:A248)</f>
        <v>222</v>
      </c>
      <c r="C248" s="24" t="s">
        <v>1119</v>
      </c>
      <c r="D248" s="31">
        <f t="shared" si="28"/>
        <v>6172822.9000000004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3">
        <v>0</v>
      </c>
      <c r="L248" s="31">
        <v>0</v>
      </c>
      <c r="M248" s="31">
        <v>1071.9000000000001</v>
      </c>
      <c r="N248" s="31">
        <f>4482384.24+117744.83-2.13+194504.87+1165153.63</f>
        <v>5959785.4400000004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f t="shared" si="29"/>
        <v>89396.78</v>
      </c>
      <c r="AD248" s="31">
        <v>123640.68</v>
      </c>
      <c r="AE248" s="31">
        <v>0</v>
      </c>
      <c r="AF248" s="34">
        <v>2020</v>
      </c>
      <c r="AG248" s="34">
        <v>2020</v>
      </c>
      <c r="AH248" s="35">
        <v>2020</v>
      </c>
      <c r="BZ248" s="71"/>
      <c r="CD248" s="20" t="e">
        <f t="shared" si="23"/>
        <v>#N/A</v>
      </c>
    </row>
    <row r="249" spans="1:82" ht="61.5" x14ac:dyDescent="0.85">
      <c r="A249" s="20">
        <v>1</v>
      </c>
      <c r="B249" s="66">
        <f>SUBTOTAL(103,$A$22:A249)</f>
        <v>223</v>
      </c>
      <c r="C249" s="24" t="s">
        <v>1205</v>
      </c>
      <c r="D249" s="31">
        <f t="shared" si="28"/>
        <v>1036792.7000000001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3">
        <v>0</v>
      </c>
      <c r="L249" s="31">
        <v>0</v>
      </c>
      <c r="M249" s="31">
        <v>540.5</v>
      </c>
      <c r="N249" s="31">
        <v>1021470.64</v>
      </c>
      <c r="O249" s="36">
        <v>0</v>
      </c>
      <c r="P249" s="36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f t="shared" si="29"/>
        <v>15322.06</v>
      </c>
      <c r="AD249" s="31">
        <v>0</v>
      </c>
      <c r="AE249" s="31">
        <v>0</v>
      </c>
      <c r="AF249" s="34" t="s">
        <v>274</v>
      </c>
      <c r="AG249" s="34">
        <v>2020</v>
      </c>
      <c r="AH249" s="35">
        <v>2020</v>
      </c>
      <c r="BZ249" s="71"/>
      <c r="CD249" s="20">
        <f t="shared" si="23"/>
        <v>540.5</v>
      </c>
    </row>
    <row r="250" spans="1:82" ht="61.5" x14ac:dyDescent="0.85">
      <c r="A250" s="20">
        <v>1</v>
      </c>
      <c r="B250" s="66">
        <f>SUBTOTAL(103,$A$22:A250)</f>
        <v>224</v>
      </c>
      <c r="C250" s="24" t="s">
        <v>1206</v>
      </c>
      <c r="D250" s="31">
        <f t="shared" si="28"/>
        <v>3426545.11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3">
        <v>0</v>
      </c>
      <c r="L250" s="31">
        <v>0</v>
      </c>
      <c r="M250" s="31">
        <v>603.5</v>
      </c>
      <c r="N250" s="31">
        <v>3299185.88</v>
      </c>
      <c r="O250" s="36">
        <v>0</v>
      </c>
      <c r="P250" s="36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f t="shared" si="29"/>
        <v>49487.79</v>
      </c>
      <c r="AD250" s="31">
        <v>77871.44</v>
      </c>
      <c r="AE250" s="31">
        <v>0</v>
      </c>
      <c r="AF250" s="34">
        <v>2020</v>
      </c>
      <c r="AG250" s="34">
        <v>2020</v>
      </c>
      <c r="AH250" s="35">
        <v>2020</v>
      </c>
      <c r="BZ250" s="71"/>
      <c r="CD250" s="20">
        <f t="shared" si="23"/>
        <v>603.5</v>
      </c>
    </row>
    <row r="251" spans="1:82" ht="61.5" x14ac:dyDescent="0.85">
      <c r="A251" s="20">
        <v>1</v>
      </c>
      <c r="B251" s="66">
        <f>SUBTOTAL(103,$A$22:A251)</f>
        <v>225</v>
      </c>
      <c r="C251" s="24" t="s">
        <v>1207</v>
      </c>
      <c r="D251" s="31">
        <f t="shared" si="28"/>
        <v>8907316.4199999999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3">
        <v>0</v>
      </c>
      <c r="L251" s="31">
        <v>0</v>
      </c>
      <c r="M251" s="31">
        <v>1650</v>
      </c>
      <c r="N251" s="31">
        <v>8775681.1999999993</v>
      </c>
      <c r="O251" s="36">
        <v>0</v>
      </c>
      <c r="P251" s="36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f t="shared" si="29"/>
        <v>131635.22</v>
      </c>
      <c r="AD251" s="31">
        <v>0</v>
      </c>
      <c r="AE251" s="31">
        <v>0</v>
      </c>
      <c r="AF251" s="34" t="s">
        <v>274</v>
      </c>
      <c r="AG251" s="34">
        <v>2020</v>
      </c>
      <c r="AH251" s="35">
        <v>2020</v>
      </c>
      <c r="BZ251" s="71"/>
      <c r="CD251" s="20">
        <f t="shared" si="23"/>
        <v>1650</v>
      </c>
    </row>
    <row r="252" spans="1:82" ht="61.5" x14ac:dyDescent="0.85">
      <c r="A252" s="20">
        <v>1</v>
      </c>
      <c r="B252" s="66">
        <f>SUBTOTAL(103,$A$22:A252)</f>
        <v>226</v>
      </c>
      <c r="C252" s="24" t="s">
        <v>1208</v>
      </c>
      <c r="D252" s="31">
        <f t="shared" si="28"/>
        <v>1815587.49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3">
        <v>0</v>
      </c>
      <c r="L252" s="31">
        <v>0</v>
      </c>
      <c r="M252" s="31">
        <v>0</v>
      </c>
      <c r="N252" s="31">
        <v>0</v>
      </c>
      <c r="O252" s="36">
        <v>0</v>
      </c>
      <c r="P252" s="36">
        <v>0</v>
      </c>
      <c r="Q252" s="31">
        <v>795.9</v>
      </c>
      <c r="R252" s="31">
        <v>1788756.15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f>ROUND(R252*1.5%,2)</f>
        <v>26831.34</v>
      </c>
      <c r="AD252" s="31">
        <v>0</v>
      </c>
      <c r="AE252" s="31">
        <v>0</v>
      </c>
      <c r="AF252" s="34" t="s">
        <v>274</v>
      </c>
      <c r="AG252" s="34">
        <v>2020</v>
      </c>
      <c r="AH252" s="35">
        <v>2020</v>
      </c>
      <c r="BZ252" s="71"/>
      <c r="CD252" s="20" t="e">
        <f t="shared" si="23"/>
        <v>#N/A</v>
      </c>
    </row>
    <row r="253" spans="1:82" ht="61.5" x14ac:dyDescent="0.85">
      <c r="A253" s="20">
        <v>1</v>
      </c>
      <c r="B253" s="66">
        <f>SUBTOTAL(103,$A$22:A253)</f>
        <v>227</v>
      </c>
      <c r="C253" s="24" t="s">
        <v>1209</v>
      </c>
      <c r="D253" s="31">
        <f t="shared" si="28"/>
        <v>3742412.1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3">
        <v>0</v>
      </c>
      <c r="L253" s="31">
        <v>0</v>
      </c>
      <c r="M253" s="31">
        <v>1906.5</v>
      </c>
      <c r="N253" s="31">
        <v>3687105.52</v>
      </c>
      <c r="O253" s="36">
        <v>0</v>
      </c>
      <c r="P253" s="36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f>ROUND(N253*1.5%,2)</f>
        <v>55306.58</v>
      </c>
      <c r="AD253" s="31">
        <v>0</v>
      </c>
      <c r="AE253" s="31">
        <v>0</v>
      </c>
      <c r="AF253" s="34" t="s">
        <v>274</v>
      </c>
      <c r="AG253" s="34">
        <v>2020</v>
      </c>
      <c r="AH253" s="35">
        <v>2020</v>
      </c>
      <c r="BZ253" s="71"/>
      <c r="CD253" s="20">
        <f t="shared" si="23"/>
        <v>1906.5</v>
      </c>
    </row>
    <row r="254" spans="1:82" ht="61.5" x14ac:dyDescent="0.85">
      <c r="A254" s="20">
        <v>1</v>
      </c>
      <c r="B254" s="66">
        <f>SUBTOTAL(103,$A$22:A254)</f>
        <v>228</v>
      </c>
      <c r="C254" s="24" t="s">
        <v>1213</v>
      </c>
      <c r="D254" s="31">
        <f t="shared" si="28"/>
        <v>2296405.6799999997</v>
      </c>
      <c r="E254" s="36">
        <v>682532.23</v>
      </c>
      <c r="F254" s="36">
        <v>1291083.82</v>
      </c>
      <c r="G254" s="36">
        <v>0</v>
      </c>
      <c r="H254" s="36">
        <v>288852.59999999998</v>
      </c>
      <c r="I254" s="36">
        <v>0</v>
      </c>
      <c r="J254" s="36">
        <v>0</v>
      </c>
      <c r="K254" s="33">
        <v>0</v>
      </c>
      <c r="L254" s="31">
        <v>0</v>
      </c>
      <c r="M254" s="31">
        <v>0</v>
      </c>
      <c r="N254" s="31">
        <v>0</v>
      </c>
      <c r="O254" s="36">
        <v>0</v>
      </c>
      <c r="P254" s="36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f>ROUND((E254+F254+G254+H254+I254+J254)*1.5%,2)</f>
        <v>33937.03</v>
      </c>
      <c r="AD254" s="31">
        <v>0</v>
      </c>
      <c r="AE254" s="31">
        <v>0</v>
      </c>
      <c r="AF254" s="34" t="s">
        <v>274</v>
      </c>
      <c r="AG254" s="34">
        <v>2020</v>
      </c>
      <c r="AH254" s="35">
        <v>2020</v>
      </c>
      <c r="BZ254" s="71"/>
      <c r="CD254" s="20" t="e">
        <f t="shared" si="23"/>
        <v>#N/A</v>
      </c>
    </row>
    <row r="255" spans="1:82" ht="61.5" x14ac:dyDescent="0.85">
      <c r="A255" s="20">
        <v>1</v>
      </c>
      <c r="B255" s="66">
        <f>SUBTOTAL(103,$A$22:A255)</f>
        <v>229</v>
      </c>
      <c r="C255" s="24" t="s">
        <v>1214</v>
      </c>
      <c r="D255" s="31">
        <f t="shared" si="28"/>
        <v>4766824.05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3">
        <v>0</v>
      </c>
      <c r="L255" s="31">
        <v>0</v>
      </c>
      <c r="M255" s="31">
        <v>1264.96</v>
      </c>
      <c r="N255" s="31">
        <v>4696378.37</v>
      </c>
      <c r="O255" s="36">
        <v>0</v>
      </c>
      <c r="P255" s="36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f>ROUND(N255*1.5%,2)</f>
        <v>70445.679999999993</v>
      </c>
      <c r="AD255" s="31">
        <v>0</v>
      </c>
      <c r="AE255" s="31">
        <v>0</v>
      </c>
      <c r="AF255" s="34" t="s">
        <v>274</v>
      </c>
      <c r="AG255" s="34">
        <v>2020</v>
      </c>
      <c r="AH255" s="35">
        <v>2020</v>
      </c>
      <c r="BZ255" s="71"/>
      <c r="CD255" s="20">
        <f t="shared" si="23"/>
        <v>1264.96</v>
      </c>
    </row>
    <row r="256" spans="1:82" ht="61.5" x14ac:dyDescent="0.85">
      <c r="A256" s="20">
        <v>1</v>
      </c>
      <c r="B256" s="66">
        <f>SUBTOTAL(103,$A$22:A256)</f>
        <v>230</v>
      </c>
      <c r="C256" s="24" t="s">
        <v>1215</v>
      </c>
      <c r="D256" s="31">
        <f t="shared" si="28"/>
        <v>1562740.68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3">
        <v>0</v>
      </c>
      <c r="L256" s="31">
        <v>0</v>
      </c>
      <c r="M256" s="31">
        <v>0</v>
      </c>
      <c r="N256" s="31">
        <v>0</v>
      </c>
      <c r="O256" s="36">
        <v>0</v>
      </c>
      <c r="P256" s="36">
        <v>0</v>
      </c>
      <c r="Q256" s="31">
        <v>0</v>
      </c>
      <c r="R256" s="31">
        <v>0</v>
      </c>
      <c r="S256" s="31">
        <v>136.80000000000001</v>
      </c>
      <c r="T256" s="31">
        <v>1421419.39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f>ROUND(T256*1.5%,2)</f>
        <v>21321.29</v>
      </c>
      <c r="AD256" s="31">
        <v>0</v>
      </c>
      <c r="AE256" s="31">
        <v>120000</v>
      </c>
      <c r="AF256" s="34" t="s">
        <v>274</v>
      </c>
      <c r="AG256" s="34">
        <v>2020</v>
      </c>
      <c r="AH256" s="35">
        <v>2020</v>
      </c>
      <c r="BZ256" s="71"/>
      <c r="CD256" s="20" t="e">
        <f t="shared" si="23"/>
        <v>#N/A</v>
      </c>
    </row>
    <row r="257" spans="1:82" ht="61.5" x14ac:dyDescent="0.85">
      <c r="A257" s="20">
        <v>1</v>
      </c>
      <c r="B257" s="66">
        <f>SUBTOTAL(103,$A$22:A257)</f>
        <v>231</v>
      </c>
      <c r="C257" s="24" t="s">
        <v>1216</v>
      </c>
      <c r="D257" s="31">
        <f t="shared" si="28"/>
        <v>3767844.52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3">
        <v>0</v>
      </c>
      <c r="L257" s="31">
        <v>0</v>
      </c>
      <c r="M257" s="31">
        <v>838.77</v>
      </c>
      <c r="N257" s="31">
        <f>3334883.48+377278.61</f>
        <v>3712162.09</v>
      </c>
      <c r="O257" s="36">
        <v>0</v>
      </c>
      <c r="P257" s="36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f>ROUND(N257*1.5%,2)</f>
        <v>55682.43</v>
      </c>
      <c r="AD257" s="31">
        <v>0</v>
      </c>
      <c r="AE257" s="31">
        <v>0</v>
      </c>
      <c r="AF257" s="34" t="s">
        <v>274</v>
      </c>
      <c r="AG257" s="34">
        <v>2020</v>
      </c>
      <c r="AH257" s="35">
        <v>2020</v>
      </c>
      <c r="BZ257" s="71"/>
      <c r="CD257" s="20">
        <f t="shared" si="23"/>
        <v>781</v>
      </c>
    </row>
    <row r="258" spans="1:82" ht="61.5" x14ac:dyDescent="0.85">
      <c r="A258" s="20">
        <v>1</v>
      </c>
      <c r="B258" s="66">
        <f>SUBTOTAL(103,$A$22:A258)</f>
        <v>232</v>
      </c>
      <c r="C258" s="24" t="s">
        <v>1217</v>
      </c>
      <c r="D258" s="31">
        <f t="shared" si="28"/>
        <v>6209520.0999999996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3">
        <v>0</v>
      </c>
      <c r="L258" s="31">
        <v>0</v>
      </c>
      <c r="M258" s="31">
        <v>2073.9</v>
      </c>
      <c r="N258" s="31">
        <v>6117753.79</v>
      </c>
      <c r="O258" s="36">
        <v>0</v>
      </c>
      <c r="P258" s="36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f>ROUND(N258*1.5%,2)</f>
        <v>91766.31</v>
      </c>
      <c r="AD258" s="31">
        <v>0</v>
      </c>
      <c r="AE258" s="31">
        <v>0</v>
      </c>
      <c r="AF258" s="34" t="s">
        <v>274</v>
      </c>
      <c r="AG258" s="34">
        <v>2020</v>
      </c>
      <c r="AH258" s="35">
        <v>2020</v>
      </c>
      <c r="BZ258" s="71"/>
      <c r="CD258" s="20">
        <f t="shared" si="23"/>
        <v>2073.9</v>
      </c>
    </row>
    <row r="259" spans="1:82" ht="61.5" x14ac:dyDescent="0.85">
      <c r="A259" s="20">
        <v>1</v>
      </c>
      <c r="B259" s="66">
        <f>SUBTOTAL(103,$A$22:A259)</f>
        <v>233</v>
      </c>
      <c r="C259" s="24" t="s">
        <v>1218</v>
      </c>
      <c r="D259" s="31">
        <f t="shared" si="28"/>
        <v>732022.04</v>
      </c>
      <c r="E259" s="36">
        <v>0</v>
      </c>
      <c r="F259" s="36">
        <v>0</v>
      </c>
      <c r="G259" s="36">
        <v>567639.41</v>
      </c>
      <c r="H259" s="36">
        <v>153564.57</v>
      </c>
      <c r="I259" s="36">
        <v>0</v>
      </c>
      <c r="J259" s="36">
        <v>0</v>
      </c>
      <c r="K259" s="33">
        <v>0</v>
      </c>
      <c r="L259" s="31">
        <v>0</v>
      </c>
      <c r="M259" s="31">
        <v>0</v>
      </c>
      <c r="N259" s="31">
        <v>0</v>
      </c>
      <c r="O259" s="36">
        <v>0</v>
      </c>
      <c r="P259" s="36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f>ROUND((E259+F259+G259+H259+I259+J259)*1.5%,2)</f>
        <v>10818.06</v>
      </c>
      <c r="AD259" s="31">
        <v>0</v>
      </c>
      <c r="AE259" s="31">
        <v>0</v>
      </c>
      <c r="AF259" s="34" t="s">
        <v>274</v>
      </c>
      <c r="AG259" s="34">
        <v>2020</v>
      </c>
      <c r="AH259" s="35">
        <v>2020</v>
      </c>
      <c r="BZ259" s="71"/>
      <c r="CD259" s="20" t="e">
        <f t="shared" si="23"/>
        <v>#N/A</v>
      </c>
    </row>
    <row r="260" spans="1:82" ht="61.5" x14ac:dyDescent="0.85">
      <c r="A260" s="20">
        <v>1</v>
      </c>
      <c r="B260" s="66">
        <f>SUBTOTAL(103,$A$22:A260)</f>
        <v>234</v>
      </c>
      <c r="C260" s="24" t="s">
        <v>1219</v>
      </c>
      <c r="D260" s="31">
        <f t="shared" si="28"/>
        <v>4782270.82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3">
        <v>0</v>
      </c>
      <c r="L260" s="31">
        <v>0</v>
      </c>
      <c r="M260" s="31">
        <v>1174.5999999999999</v>
      </c>
      <c r="N260" s="31">
        <v>4711596.87</v>
      </c>
      <c r="O260" s="36">
        <v>0</v>
      </c>
      <c r="P260" s="36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f>ROUND(N260*1.5%,2)</f>
        <v>70673.95</v>
      </c>
      <c r="AD260" s="31">
        <v>0</v>
      </c>
      <c r="AE260" s="31">
        <v>0</v>
      </c>
      <c r="AF260" s="34" t="s">
        <v>274</v>
      </c>
      <c r="AG260" s="34">
        <v>2020</v>
      </c>
      <c r="AH260" s="35">
        <v>2020</v>
      </c>
      <c r="BZ260" s="71"/>
      <c r="CD260" s="20">
        <f t="shared" si="23"/>
        <v>1174.18</v>
      </c>
    </row>
    <row r="261" spans="1:82" ht="61.5" x14ac:dyDescent="0.85">
      <c r="A261" s="20">
        <v>1</v>
      </c>
      <c r="B261" s="66">
        <f>SUBTOTAL(103,$A$22:A261)</f>
        <v>235</v>
      </c>
      <c r="C261" s="24" t="s">
        <v>1220</v>
      </c>
      <c r="D261" s="31">
        <f t="shared" si="28"/>
        <v>2613308.5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3">
        <v>0</v>
      </c>
      <c r="L261" s="31">
        <v>0</v>
      </c>
      <c r="M261" s="31">
        <v>484</v>
      </c>
      <c r="N261" s="31">
        <v>2574688.1800000002</v>
      </c>
      <c r="O261" s="36">
        <v>0</v>
      </c>
      <c r="P261" s="36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f>ROUND(N261*1.5%,2)</f>
        <v>38620.32</v>
      </c>
      <c r="AD261" s="31">
        <v>0</v>
      </c>
      <c r="AE261" s="31">
        <v>0</v>
      </c>
      <c r="AF261" s="34" t="s">
        <v>274</v>
      </c>
      <c r="AG261" s="34">
        <v>2020</v>
      </c>
      <c r="AH261" s="35">
        <v>2020</v>
      </c>
      <c r="BZ261" s="71"/>
      <c r="CD261" s="20">
        <f t="shared" si="23"/>
        <v>484</v>
      </c>
    </row>
    <row r="262" spans="1:82" ht="61.5" x14ac:dyDescent="0.85">
      <c r="A262" s="20">
        <v>1</v>
      </c>
      <c r="B262" s="66">
        <f>SUBTOTAL(103,$A$22:A262)</f>
        <v>236</v>
      </c>
      <c r="C262" s="24" t="s">
        <v>1380</v>
      </c>
      <c r="D262" s="31">
        <f t="shared" si="28"/>
        <v>2732414.26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3">
        <v>0</v>
      </c>
      <c r="L262" s="31">
        <v>0</v>
      </c>
      <c r="M262" s="207">
        <v>534.6</v>
      </c>
      <c r="N262" s="31">
        <f>2334221.95+307581.97</f>
        <v>2641803.92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f>ROUND(N262*1.5%,2)</f>
        <v>39627.06</v>
      </c>
      <c r="AD262" s="31">
        <v>50983.28</v>
      </c>
      <c r="AE262" s="31">
        <v>0</v>
      </c>
      <c r="AF262" s="34">
        <v>2020</v>
      </c>
      <c r="AG262" s="34">
        <v>2020</v>
      </c>
      <c r="AH262" s="35">
        <v>2020</v>
      </c>
      <c r="BZ262" s="71"/>
      <c r="CD262" s="20" t="e">
        <f t="shared" si="23"/>
        <v>#N/A</v>
      </c>
    </row>
    <row r="263" spans="1:82" ht="61.5" x14ac:dyDescent="0.85">
      <c r="A263" s="20">
        <v>1</v>
      </c>
      <c r="B263" s="66">
        <f>SUBTOTAL(103,$A$22:A263)</f>
        <v>237</v>
      </c>
      <c r="C263" s="24" t="s">
        <v>1379</v>
      </c>
      <c r="D263" s="31">
        <f t="shared" si="28"/>
        <v>2367728.1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3">
        <v>0</v>
      </c>
      <c r="L263" s="31">
        <v>0</v>
      </c>
      <c r="M263" s="207">
        <v>490</v>
      </c>
      <c r="N263" s="31">
        <v>2284863.65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f>ROUND(N263*1.5%,2)</f>
        <v>34272.949999999997</v>
      </c>
      <c r="AD263" s="31">
        <v>48591.5</v>
      </c>
      <c r="AE263" s="31">
        <v>0</v>
      </c>
      <c r="AF263" s="34">
        <v>2020</v>
      </c>
      <c r="AG263" s="34">
        <v>2020</v>
      </c>
      <c r="AH263" s="35">
        <v>2020</v>
      </c>
      <c r="BZ263" s="71"/>
      <c r="CD263" s="20" t="e">
        <f t="shared" si="23"/>
        <v>#N/A</v>
      </c>
    </row>
    <row r="264" spans="1:82" ht="61.5" x14ac:dyDescent="0.85">
      <c r="A264" s="20">
        <v>1</v>
      </c>
      <c r="B264" s="66">
        <f>SUBTOTAL(103,$A$22:A264)</f>
        <v>238</v>
      </c>
      <c r="C264" s="24" t="s">
        <v>1601</v>
      </c>
      <c r="D264" s="31">
        <f t="shared" si="28"/>
        <v>6349239.9500000002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3">
        <v>0</v>
      </c>
      <c r="L264" s="31">
        <v>0</v>
      </c>
      <c r="M264" s="31">
        <v>1010.5</v>
      </c>
      <c r="N264" s="31">
        <v>6055408.8200000003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f>ROUND(N264*1.5%,2)</f>
        <v>90831.13</v>
      </c>
      <c r="AD264" s="31">
        <v>203000</v>
      </c>
      <c r="AE264" s="31">
        <v>0</v>
      </c>
      <c r="AF264" s="34">
        <v>2020</v>
      </c>
      <c r="AG264" s="34">
        <v>2020</v>
      </c>
      <c r="AH264" s="35">
        <v>2020</v>
      </c>
      <c r="BZ264" s="71"/>
      <c r="CD264" s="20" t="e">
        <f t="shared" si="23"/>
        <v>#N/A</v>
      </c>
    </row>
    <row r="265" spans="1:82" ht="61.5" x14ac:dyDescent="0.85">
      <c r="B265" s="24" t="s">
        <v>841</v>
      </c>
      <c r="C265" s="24"/>
      <c r="D265" s="31">
        <f>SUM(D266:D272)</f>
        <v>31393292.599999998</v>
      </c>
      <c r="E265" s="31">
        <f t="shared" ref="E265:AE265" si="30">SUM(E266:E272)</f>
        <v>145980.06</v>
      </c>
      <c r="F265" s="31">
        <f t="shared" si="30"/>
        <v>431178.77</v>
      </c>
      <c r="G265" s="31">
        <f t="shared" si="30"/>
        <v>2599107.0700000003</v>
      </c>
      <c r="H265" s="31">
        <f t="shared" si="30"/>
        <v>270735.94</v>
      </c>
      <c r="I265" s="31">
        <f t="shared" si="30"/>
        <v>0</v>
      </c>
      <c r="J265" s="31">
        <f t="shared" si="30"/>
        <v>0</v>
      </c>
      <c r="K265" s="33">
        <f t="shared" si="30"/>
        <v>0</v>
      </c>
      <c r="L265" s="31">
        <f t="shared" si="30"/>
        <v>0</v>
      </c>
      <c r="M265" s="31">
        <f t="shared" si="30"/>
        <v>5869.51</v>
      </c>
      <c r="N265" s="31">
        <f t="shared" si="30"/>
        <v>27141002.390000001</v>
      </c>
      <c r="O265" s="31">
        <f t="shared" si="30"/>
        <v>0</v>
      </c>
      <c r="P265" s="31">
        <f t="shared" si="30"/>
        <v>0</v>
      </c>
      <c r="Q265" s="31">
        <f t="shared" si="30"/>
        <v>0</v>
      </c>
      <c r="R265" s="31">
        <f t="shared" si="30"/>
        <v>0</v>
      </c>
      <c r="S265" s="31">
        <f t="shared" si="30"/>
        <v>0</v>
      </c>
      <c r="T265" s="31">
        <f t="shared" si="30"/>
        <v>0</v>
      </c>
      <c r="U265" s="31">
        <f t="shared" si="30"/>
        <v>0</v>
      </c>
      <c r="V265" s="31">
        <f t="shared" si="30"/>
        <v>0</v>
      </c>
      <c r="W265" s="31">
        <f t="shared" si="30"/>
        <v>0</v>
      </c>
      <c r="X265" s="31">
        <f t="shared" si="30"/>
        <v>0</v>
      </c>
      <c r="Y265" s="31">
        <f t="shared" si="30"/>
        <v>0</v>
      </c>
      <c r="Z265" s="31">
        <f t="shared" si="30"/>
        <v>0</v>
      </c>
      <c r="AA265" s="31">
        <f t="shared" si="30"/>
        <v>0</v>
      </c>
      <c r="AB265" s="31">
        <f t="shared" si="30"/>
        <v>0</v>
      </c>
      <c r="AC265" s="31">
        <f t="shared" si="30"/>
        <v>458820.06</v>
      </c>
      <c r="AD265" s="31">
        <f t="shared" si="30"/>
        <v>346468.31</v>
      </c>
      <c r="AE265" s="31">
        <f t="shared" si="30"/>
        <v>0</v>
      </c>
      <c r="AF265" s="72" t="s">
        <v>776</v>
      </c>
      <c r="AG265" s="72" t="s">
        <v>776</v>
      </c>
      <c r="AH265" s="88" t="s">
        <v>776</v>
      </c>
      <c r="AT265" s="20" t="e">
        <f>VLOOKUP(C265,AW:AX,2,FALSE)</f>
        <v>#N/A</v>
      </c>
      <c r="BZ265" s="71">
        <v>31393292.599999998</v>
      </c>
      <c r="CD265" s="20" t="e">
        <f t="shared" si="23"/>
        <v>#N/A</v>
      </c>
    </row>
    <row r="266" spans="1:82" ht="61.5" x14ac:dyDescent="0.85">
      <c r="A266" s="20">
        <v>1</v>
      </c>
      <c r="B266" s="66">
        <f>SUBTOTAL(103,$A$22:A266)</f>
        <v>239</v>
      </c>
      <c r="C266" s="24" t="s">
        <v>657</v>
      </c>
      <c r="D266" s="31">
        <f t="shared" ref="D266:D272" si="31">E266+F266+G266+H266+I266+J266+L266+N266+P266+R266+T266+U266+V266+W266+X266+Y266+Z266+AA266+AB266+AC266+AD266+AE266</f>
        <v>7597136.8899999997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3">
        <v>0</v>
      </c>
      <c r="L266" s="31">
        <v>0</v>
      </c>
      <c r="M266" s="31">
        <v>1399.31</v>
      </c>
      <c r="N266" s="31">
        <f>6710298.29+600000</f>
        <v>7310298.29</v>
      </c>
      <c r="O266" s="36">
        <v>0</v>
      </c>
      <c r="P266" s="36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f>ROUND(N266*1.5%,2)</f>
        <v>109654.47</v>
      </c>
      <c r="AD266" s="31">
        <v>177184.13</v>
      </c>
      <c r="AE266" s="31">
        <v>0</v>
      </c>
      <c r="AF266" s="34">
        <v>2020</v>
      </c>
      <c r="AG266" s="34">
        <v>2020</v>
      </c>
      <c r="AH266" s="35">
        <v>2020</v>
      </c>
      <c r="AT266" s="20" t="e">
        <f>VLOOKUP(C266,AW:AX,2,FALSE)</f>
        <v>#N/A</v>
      </c>
      <c r="BZ266" s="71"/>
      <c r="CD266" s="20" t="e">
        <f t="shared" si="23"/>
        <v>#N/A</v>
      </c>
    </row>
    <row r="267" spans="1:82" ht="61.5" x14ac:dyDescent="0.85">
      <c r="A267" s="20">
        <v>1</v>
      </c>
      <c r="B267" s="66">
        <f>SUBTOTAL(103,$A$22:A267)</f>
        <v>240</v>
      </c>
      <c r="C267" s="24" t="s">
        <v>663</v>
      </c>
      <c r="D267" s="31">
        <f t="shared" si="31"/>
        <v>6332587.8299999991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3">
        <v>0</v>
      </c>
      <c r="L267" s="31">
        <v>0</v>
      </c>
      <c r="M267" s="31">
        <v>1122.5</v>
      </c>
      <c r="N267" s="31">
        <f>5347793.1+724427.24</f>
        <v>6072220.3399999999</v>
      </c>
      <c r="O267" s="36">
        <v>0</v>
      </c>
      <c r="P267" s="36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f>ROUND(N267*1.5%,2)</f>
        <v>91083.31</v>
      </c>
      <c r="AD267" s="31">
        <v>169284.18</v>
      </c>
      <c r="AE267" s="31">
        <v>0</v>
      </c>
      <c r="AF267" s="34">
        <v>2020</v>
      </c>
      <c r="AG267" s="34">
        <v>2020</v>
      </c>
      <c r="AH267" s="35">
        <v>2020</v>
      </c>
      <c r="AT267" s="20" t="e">
        <f>VLOOKUP(C267,AW:AX,2,FALSE)</f>
        <v>#N/A</v>
      </c>
      <c r="BZ267" s="71"/>
      <c r="CD267" s="20" t="e">
        <f t="shared" si="23"/>
        <v>#N/A</v>
      </c>
    </row>
    <row r="268" spans="1:82" ht="61.5" x14ac:dyDescent="0.85">
      <c r="A268" s="20">
        <v>1</v>
      </c>
      <c r="B268" s="66">
        <f>SUBTOTAL(103,$A$22:A268)</f>
        <v>241</v>
      </c>
      <c r="C268" s="24" t="s">
        <v>1221</v>
      </c>
      <c r="D268" s="31">
        <f t="shared" si="31"/>
        <v>5003194.3900000006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3">
        <v>0</v>
      </c>
      <c r="L268" s="31">
        <v>0</v>
      </c>
      <c r="M268" s="31">
        <v>1161</v>
      </c>
      <c r="N268" s="31">
        <v>4929255.5600000005</v>
      </c>
      <c r="O268" s="36">
        <v>0</v>
      </c>
      <c r="P268" s="36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f>ROUND(N268*1.5%,2)</f>
        <v>73938.83</v>
      </c>
      <c r="AD268" s="31">
        <v>0</v>
      </c>
      <c r="AE268" s="31">
        <v>0</v>
      </c>
      <c r="AF268" s="34" t="s">
        <v>274</v>
      </c>
      <c r="AG268" s="34">
        <v>2020</v>
      </c>
      <c r="AH268" s="35">
        <v>2020</v>
      </c>
      <c r="BZ268" s="71"/>
      <c r="CD268" s="20">
        <f t="shared" si="23"/>
        <v>1161</v>
      </c>
    </row>
    <row r="269" spans="1:82" ht="61.5" x14ac:dyDescent="0.85">
      <c r="A269" s="20">
        <v>1</v>
      </c>
      <c r="B269" s="66">
        <f>SUBTOTAL(103,$A$22:A269)</f>
        <v>242</v>
      </c>
      <c r="C269" s="24" t="s">
        <v>1222</v>
      </c>
      <c r="D269" s="31">
        <f t="shared" si="31"/>
        <v>3498706.87</v>
      </c>
      <c r="E269" s="36">
        <v>145980.06</v>
      </c>
      <c r="F269" s="36">
        <v>431178.77</v>
      </c>
      <c r="G269" s="36">
        <v>2599107.0700000003</v>
      </c>
      <c r="H269" s="36">
        <v>270735.94</v>
      </c>
      <c r="I269" s="36">
        <v>0</v>
      </c>
      <c r="J269" s="36">
        <v>0</v>
      </c>
      <c r="K269" s="33">
        <v>0</v>
      </c>
      <c r="L269" s="31">
        <v>0</v>
      </c>
      <c r="M269" s="31">
        <v>0</v>
      </c>
      <c r="N269" s="31">
        <v>0</v>
      </c>
      <c r="O269" s="36">
        <v>0</v>
      </c>
      <c r="P269" s="36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f>ROUND((E269+F269+G269+H269+I269+J269)*1.5%,2)</f>
        <v>51705.03</v>
      </c>
      <c r="AD269" s="31">
        <v>0</v>
      </c>
      <c r="AE269" s="31">
        <v>0</v>
      </c>
      <c r="AF269" s="34" t="s">
        <v>274</v>
      </c>
      <c r="AG269" s="34">
        <v>2020</v>
      </c>
      <c r="AH269" s="35">
        <v>2020</v>
      </c>
      <c r="BZ269" s="71"/>
      <c r="CD269" s="20" t="e">
        <f t="shared" si="23"/>
        <v>#N/A</v>
      </c>
    </row>
    <row r="270" spans="1:82" ht="61.5" x14ac:dyDescent="0.85">
      <c r="A270" s="20">
        <v>1</v>
      </c>
      <c r="B270" s="66">
        <f>SUBTOTAL(103,$A$22:A270)</f>
        <v>243</v>
      </c>
      <c r="C270" s="24" t="s">
        <v>1223</v>
      </c>
      <c r="D270" s="31">
        <f t="shared" si="31"/>
        <v>1670690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3">
        <v>0</v>
      </c>
      <c r="L270" s="31">
        <v>0</v>
      </c>
      <c r="M270" s="31">
        <v>438.9</v>
      </c>
      <c r="N270" s="31">
        <v>1646000</v>
      </c>
      <c r="O270" s="36">
        <v>0</v>
      </c>
      <c r="P270" s="36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f>ROUND(N270*1.5%,2)</f>
        <v>24690</v>
      </c>
      <c r="AD270" s="31">
        <v>0</v>
      </c>
      <c r="AE270" s="31">
        <v>0</v>
      </c>
      <c r="AF270" s="34" t="s">
        <v>274</v>
      </c>
      <c r="AG270" s="34">
        <v>2020</v>
      </c>
      <c r="AH270" s="35">
        <v>2020</v>
      </c>
      <c r="BZ270" s="71"/>
      <c r="CD270" s="20">
        <f t="shared" si="23"/>
        <v>452.1</v>
      </c>
    </row>
    <row r="271" spans="1:82" ht="61.5" x14ac:dyDescent="0.85">
      <c r="A271" s="20">
        <v>1</v>
      </c>
      <c r="B271" s="66">
        <f>SUBTOTAL(103,$A$22:A271)</f>
        <v>244</v>
      </c>
      <c r="C271" s="24" t="s">
        <v>1224</v>
      </c>
      <c r="D271" s="31">
        <f t="shared" si="31"/>
        <v>4024342.92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3">
        <v>0</v>
      </c>
      <c r="L271" s="31">
        <v>0</v>
      </c>
      <c r="M271" s="31">
        <v>970</v>
      </c>
      <c r="N271" s="31">
        <f>3967226.64-2356.77</f>
        <v>3964869.87</v>
      </c>
      <c r="O271" s="36">
        <v>0</v>
      </c>
      <c r="P271" s="36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f>ROUND(N271*1.5%,2)</f>
        <v>59473.05</v>
      </c>
      <c r="AD271" s="31">
        <v>0</v>
      </c>
      <c r="AE271" s="31">
        <v>0</v>
      </c>
      <c r="AF271" s="34" t="s">
        <v>274</v>
      </c>
      <c r="AG271" s="34">
        <v>2020</v>
      </c>
      <c r="AH271" s="35">
        <v>2020</v>
      </c>
      <c r="BZ271" s="71"/>
      <c r="CD271" s="20">
        <f t="shared" si="23"/>
        <v>992</v>
      </c>
    </row>
    <row r="272" spans="1:82" ht="61.5" x14ac:dyDescent="0.85">
      <c r="A272" s="20">
        <v>1</v>
      </c>
      <c r="B272" s="66">
        <f>SUBTOTAL(103,$A$22:A272)</f>
        <v>245</v>
      </c>
      <c r="C272" s="24" t="s">
        <v>661</v>
      </c>
      <c r="D272" s="31">
        <f t="shared" si="31"/>
        <v>3266633.7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3">
        <v>0</v>
      </c>
      <c r="L272" s="31">
        <v>0</v>
      </c>
      <c r="M272" s="31">
        <v>777.8</v>
      </c>
      <c r="N272" s="31">
        <v>3218358.33</v>
      </c>
      <c r="O272" s="36">
        <v>0</v>
      </c>
      <c r="P272" s="36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f>ROUND(N272*1.5%,2)</f>
        <v>48275.37</v>
      </c>
      <c r="AD272" s="31">
        <v>0</v>
      </c>
      <c r="AE272" s="31">
        <v>0</v>
      </c>
      <c r="AF272" s="34" t="s">
        <v>274</v>
      </c>
      <c r="AG272" s="34">
        <v>2020</v>
      </c>
      <c r="AH272" s="35">
        <v>2020</v>
      </c>
      <c r="BZ272" s="71"/>
      <c r="CD272" s="20">
        <f t="shared" si="23"/>
        <v>796.1</v>
      </c>
    </row>
    <row r="273" spans="1:82" ht="61.5" x14ac:dyDescent="0.85">
      <c r="B273" s="24" t="s">
        <v>842</v>
      </c>
      <c r="C273" s="24"/>
      <c r="D273" s="31">
        <f>SUM(D274:D279)</f>
        <v>35599350.520000003</v>
      </c>
      <c r="E273" s="31">
        <f t="shared" ref="E273:AE273" si="32">SUM(E274:E279)</f>
        <v>0</v>
      </c>
      <c r="F273" s="31">
        <f t="shared" si="32"/>
        <v>0</v>
      </c>
      <c r="G273" s="31">
        <f t="shared" si="32"/>
        <v>0</v>
      </c>
      <c r="H273" s="31">
        <f t="shared" si="32"/>
        <v>0</v>
      </c>
      <c r="I273" s="31">
        <f t="shared" si="32"/>
        <v>0</v>
      </c>
      <c r="J273" s="31">
        <f t="shared" si="32"/>
        <v>0</v>
      </c>
      <c r="K273" s="33">
        <f t="shared" si="32"/>
        <v>0</v>
      </c>
      <c r="L273" s="31">
        <f t="shared" si="32"/>
        <v>0</v>
      </c>
      <c r="M273" s="31">
        <f t="shared" si="32"/>
        <v>5024.42</v>
      </c>
      <c r="N273" s="31">
        <f t="shared" si="32"/>
        <v>25057163.209999997</v>
      </c>
      <c r="O273" s="31">
        <f t="shared" si="32"/>
        <v>0</v>
      </c>
      <c r="P273" s="31">
        <f t="shared" si="32"/>
        <v>0</v>
      </c>
      <c r="Q273" s="31">
        <f t="shared" si="32"/>
        <v>2498.8200000000002</v>
      </c>
      <c r="R273" s="31">
        <f t="shared" si="32"/>
        <v>9444659.9700000007</v>
      </c>
      <c r="S273" s="31">
        <f t="shared" si="32"/>
        <v>0</v>
      </c>
      <c r="T273" s="31">
        <f t="shared" si="32"/>
        <v>0</v>
      </c>
      <c r="U273" s="31">
        <f t="shared" si="32"/>
        <v>0</v>
      </c>
      <c r="V273" s="31">
        <f t="shared" si="32"/>
        <v>0</v>
      </c>
      <c r="W273" s="31">
        <f t="shared" si="32"/>
        <v>0</v>
      </c>
      <c r="X273" s="31">
        <f t="shared" si="32"/>
        <v>0</v>
      </c>
      <c r="Y273" s="31">
        <f t="shared" si="32"/>
        <v>0</v>
      </c>
      <c r="Z273" s="31">
        <f t="shared" si="32"/>
        <v>0</v>
      </c>
      <c r="AA273" s="31">
        <f t="shared" si="32"/>
        <v>0</v>
      </c>
      <c r="AB273" s="31">
        <f t="shared" si="32"/>
        <v>0</v>
      </c>
      <c r="AC273" s="31">
        <f t="shared" si="32"/>
        <v>517527.34</v>
      </c>
      <c r="AD273" s="31">
        <f t="shared" si="32"/>
        <v>580000</v>
      </c>
      <c r="AE273" s="31">
        <f t="shared" si="32"/>
        <v>0</v>
      </c>
      <c r="AF273" s="72" t="s">
        <v>776</v>
      </c>
      <c r="AG273" s="72" t="s">
        <v>776</v>
      </c>
      <c r="AH273" s="88" t="s">
        <v>776</v>
      </c>
      <c r="AT273" s="20" t="e">
        <f>VLOOKUP(C273,AW:AX,2,FALSE)</f>
        <v>#N/A</v>
      </c>
      <c r="BZ273" s="71">
        <v>35599350.520000003</v>
      </c>
      <c r="CD273" s="20" t="e">
        <f t="shared" si="23"/>
        <v>#N/A</v>
      </c>
    </row>
    <row r="274" spans="1:82" ht="61.5" x14ac:dyDescent="0.85">
      <c r="A274" s="20">
        <v>1</v>
      </c>
      <c r="B274" s="66">
        <f>SUBTOTAL(103,$A$22:A274)</f>
        <v>246</v>
      </c>
      <c r="C274" s="24" t="s">
        <v>671</v>
      </c>
      <c r="D274" s="31">
        <f t="shared" ref="D274:D279" si="33">E274+F274+G274+H274+I274+J274+L274+N274+P274+R274+T274+U274+V274+W274+X274+Y274+Z274+AA274+AB274+AC274+AD274+AE274</f>
        <v>3536098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3">
        <v>0</v>
      </c>
      <c r="L274" s="31">
        <v>0</v>
      </c>
      <c r="M274" s="31">
        <v>374</v>
      </c>
      <c r="N274" s="31">
        <v>1852654</v>
      </c>
      <c r="O274" s="37">
        <v>0</v>
      </c>
      <c r="P274" s="37">
        <v>0</v>
      </c>
      <c r="Q274" s="31">
        <v>470.68</v>
      </c>
      <c r="R274" s="31">
        <v>1526133.04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f>ROUND((N274+R274)*1.5%,2)</f>
        <v>50681.81</v>
      </c>
      <c r="AD274" s="31">
        <v>106629.15</v>
      </c>
      <c r="AE274" s="31">
        <v>0</v>
      </c>
      <c r="AF274" s="34">
        <v>2020</v>
      </c>
      <c r="AG274" s="34">
        <v>2020</v>
      </c>
      <c r="AH274" s="35">
        <v>2020</v>
      </c>
      <c r="AT274" s="20" t="e">
        <f>VLOOKUP(C274,AW:AX,2,FALSE)</f>
        <v>#N/A</v>
      </c>
      <c r="BZ274" s="71"/>
      <c r="CD274" s="20" t="e">
        <f t="shared" si="23"/>
        <v>#N/A</v>
      </c>
    </row>
    <row r="275" spans="1:82" ht="61.5" x14ac:dyDescent="0.85">
      <c r="A275" s="20">
        <v>1</v>
      </c>
      <c r="B275" s="66">
        <f>SUBTOTAL(103,$A$22:A275)</f>
        <v>247</v>
      </c>
      <c r="C275" s="24" t="s">
        <v>665</v>
      </c>
      <c r="D275" s="31">
        <f t="shared" si="33"/>
        <v>3748245.9899999998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3">
        <v>0</v>
      </c>
      <c r="L275" s="31">
        <v>0</v>
      </c>
      <c r="M275" s="31">
        <v>723.65</v>
      </c>
      <c r="N275" s="31">
        <v>3574558.28</v>
      </c>
      <c r="O275" s="36">
        <v>0</v>
      </c>
      <c r="P275" s="36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f>ROUND(N275*1.5%,2)</f>
        <v>53618.37</v>
      </c>
      <c r="AD275" s="31">
        <v>120069.34</v>
      </c>
      <c r="AE275" s="31">
        <v>0</v>
      </c>
      <c r="AF275" s="34">
        <v>2020</v>
      </c>
      <c r="AG275" s="34">
        <v>2020</v>
      </c>
      <c r="AH275" s="35">
        <v>2020</v>
      </c>
      <c r="AT275" s="20" t="e">
        <f>VLOOKUP(C275,AW:AX,2,FALSE)</f>
        <v>#N/A</v>
      </c>
      <c r="BZ275" s="71"/>
      <c r="CD275" s="20" t="e">
        <f t="shared" si="23"/>
        <v>#N/A</v>
      </c>
    </row>
    <row r="276" spans="1:82" ht="61.5" x14ac:dyDescent="0.85">
      <c r="A276" s="20">
        <v>1</v>
      </c>
      <c r="B276" s="66">
        <f>SUBTOTAL(103,$A$22:A276)</f>
        <v>248</v>
      </c>
      <c r="C276" s="24" t="s">
        <v>670</v>
      </c>
      <c r="D276" s="31">
        <f t="shared" si="33"/>
        <v>5958565.79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3">
        <v>0</v>
      </c>
      <c r="L276" s="31">
        <v>0</v>
      </c>
      <c r="M276" s="31">
        <v>1151.4000000000001</v>
      </c>
      <c r="N276" s="31">
        <v>5745280.2000000002</v>
      </c>
      <c r="O276" s="36">
        <v>0</v>
      </c>
      <c r="P276" s="36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f>ROUND(N276*1.5%,2)</f>
        <v>86179.199999999997</v>
      </c>
      <c r="AD276" s="31">
        <v>127106.39</v>
      </c>
      <c r="AE276" s="31">
        <v>0</v>
      </c>
      <c r="AF276" s="34">
        <v>2020</v>
      </c>
      <c r="AG276" s="34">
        <v>2020</v>
      </c>
      <c r="AH276" s="35">
        <v>2020</v>
      </c>
      <c r="AT276" s="20" t="e">
        <f>VLOOKUP(C276,AW:AX,2,FALSE)</f>
        <v>#N/A</v>
      </c>
      <c r="BZ276" s="71"/>
      <c r="CD276" s="20" t="e">
        <f t="shared" si="23"/>
        <v>#N/A</v>
      </c>
    </row>
    <row r="277" spans="1:82" ht="61.5" x14ac:dyDescent="0.85">
      <c r="A277" s="20">
        <v>1</v>
      </c>
      <c r="B277" s="66">
        <f>SUBTOTAL(103,$A$22:A277)</f>
        <v>249</v>
      </c>
      <c r="C277" s="24" t="s">
        <v>1225</v>
      </c>
      <c r="D277" s="31">
        <f t="shared" si="33"/>
        <v>8037304.830000001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3">
        <v>0</v>
      </c>
      <c r="L277" s="31">
        <v>0</v>
      </c>
      <c r="M277" s="31">
        <v>0</v>
      </c>
      <c r="N277" s="31">
        <v>0</v>
      </c>
      <c r="O277" s="36">
        <v>0</v>
      </c>
      <c r="P277" s="36">
        <v>0</v>
      </c>
      <c r="Q277" s="31">
        <v>2028.14</v>
      </c>
      <c r="R277" s="31">
        <f>6030335.94+1888190.99</f>
        <v>7918526.9300000006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f>ROUND(R277*1.5%,2)</f>
        <v>118777.9</v>
      </c>
      <c r="AD277" s="31">
        <v>0</v>
      </c>
      <c r="AE277" s="31">
        <v>0</v>
      </c>
      <c r="AF277" s="34" t="s">
        <v>274</v>
      </c>
      <c r="AG277" s="34">
        <v>2020</v>
      </c>
      <c r="AH277" s="35">
        <v>2020</v>
      </c>
      <c r="BZ277" s="71"/>
      <c r="CD277" s="20" t="e">
        <f t="shared" si="23"/>
        <v>#N/A</v>
      </c>
    </row>
    <row r="278" spans="1:82" ht="61.5" x14ac:dyDescent="0.85">
      <c r="A278" s="20">
        <v>1</v>
      </c>
      <c r="B278" s="66">
        <f>SUBTOTAL(103,$A$22:A278)</f>
        <v>250</v>
      </c>
      <c r="C278" s="24" t="s">
        <v>1210</v>
      </c>
      <c r="D278" s="31">
        <f t="shared" si="33"/>
        <v>10475523.609999999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3">
        <v>0</v>
      </c>
      <c r="L278" s="31">
        <v>0</v>
      </c>
      <c r="M278" s="31">
        <v>1995.2</v>
      </c>
      <c r="N278" s="31">
        <v>10320712.92</v>
      </c>
      <c r="O278" s="36">
        <v>0</v>
      </c>
      <c r="P278" s="36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f>ROUND(N278*1.5%,2)</f>
        <v>154810.69</v>
      </c>
      <c r="AD278" s="31">
        <v>0</v>
      </c>
      <c r="AE278" s="31">
        <v>0</v>
      </c>
      <c r="AF278" s="34" t="s">
        <v>274</v>
      </c>
      <c r="AG278" s="34">
        <v>2020</v>
      </c>
      <c r="AH278" s="35">
        <v>2020</v>
      </c>
      <c r="BZ278" s="71"/>
      <c r="CD278" s="20">
        <f t="shared" ref="CD278:CD341" si="34">VLOOKUP(C278,CE:CF,2,FALSE)</f>
        <v>1995.2</v>
      </c>
    </row>
    <row r="279" spans="1:82" ht="61.5" x14ac:dyDescent="0.85">
      <c r="A279" s="20">
        <v>1</v>
      </c>
      <c r="B279" s="66">
        <f>SUBTOTAL(103,$A$22:A279)</f>
        <v>251</v>
      </c>
      <c r="C279" s="24" t="s">
        <v>1609</v>
      </c>
      <c r="D279" s="31">
        <f t="shared" si="33"/>
        <v>3843612.3000000003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3">
        <v>0</v>
      </c>
      <c r="L279" s="31">
        <v>0</v>
      </c>
      <c r="M279" s="31">
        <v>780.17</v>
      </c>
      <c r="N279" s="31">
        <f>3479095.21+84862.6</f>
        <v>3563957.81</v>
      </c>
      <c r="O279" s="36">
        <v>0</v>
      </c>
      <c r="P279" s="36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f>ROUND(N279*1.5%,2)</f>
        <v>53459.37</v>
      </c>
      <c r="AD279" s="31">
        <f>580000-AD274-AD275-AD276</f>
        <v>226195.12</v>
      </c>
      <c r="AE279" s="31">
        <v>0</v>
      </c>
      <c r="AF279" s="34">
        <v>2020</v>
      </c>
      <c r="AG279" s="34">
        <v>2020</v>
      </c>
      <c r="AH279" s="35">
        <v>2020</v>
      </c>
      <c r="BZ279" s="71"/>
      <c r="CD279" s="20" t="e">
        <f t="shared" si="34"/>
        <v>#N/A</v>
      </c>
    </row>
    <row r="280" spans="1:82" ht="61.5" x14ac:dyDescent="0.85">
      <c r="B280" s="24" t="s">
        <v>843</v>
      </c>
      <c r="C280" s="24"/>
      <c r="D280" s="31">
        <f>SUM(D281:D284)</f>
        <v>17002898.350000001</v>
      </c>
      <c r="E280" s="31">
        <f t="shared" ref="E280:AE280" si="35">SUM(E281:E284)</f>
        <v>0</v>
      </c>
      <c r="F280" s="31">
        <f t="shared" si="35"/>
        <v>568509.12</v>
      </c>
      <c r="G280" s="31">
        <f t="shared" si="35"/>
        <v>2465318.6100000003</v>
      </c>
      <c r="H280" s="31">
        <f t="shared" si="35"/>
        <v>345280.61</v>
      </c>
      <c r="I280" s="31">
        <f t="shared" si="35"/>
        <v>0</v>
      </c>
      <c r="J280" s="31">
        <f t="shared" si="35"/>
        <v>0</v>
      </c>
      <c r="K280" s="33">
        <f t="shared" si="35"/>
        <v>0</v>
      </c>
      <c r="L280" s="31">
        <f t="shared" si="35"/>
        <v>0</v>
      </c>
      <c r="M280" s="31">
        <f t="shared" si="35"/>
        <v>3133.25</v>
      </c>
      <c r="N280" s="31">
        <f t="shared" si="35"/>
        <v>13047392.5</v>
      </c>
      <c r="O280" s="31">
        <f t="shared" si="35"/>
        <v>0</v>
      </c>
      <c r="P280" s="31">
        <f t="shared" si="35"/>
        <v>0</v>
      </c>
      <c r="Q280" s="31">
        <f t="shared" si="35"/>
        <v>0</v>
      </c>
      <c r="R280" s="31">
        <f t="shared" si="35"/>
        <v>0</v>
      </c>
      <c r="S280" s="31">
        <f t="shared" si="35"/>
        <v>0</v>
      </c>
      <c r="T280" s="31">
        <f t="shared" si="35"/>
        <v>0</v>
      </c>
      <c r="U280" s="31">
        <f t="shared" si="35"/>
        <v>0</v>
      </c>
      <c r="V280" s="31">
        <f t="shared" si="35"/>
        <v>0</v>
      </c>
      <c r="W280" s="31">
        <f t="shared" si="35"/>
        <v>0</v>
      </c>
      <c r="X280" s="31">
        <f t="shared" si="35"/>
        <v>0</v>
      </c>
      <c r="Y280" s="31">
        <f t="shared" si="35"/>
        <v>0</v>
      </c>
      <c r="Z280" s="31">
        <f t="shared" si="35"/>
        <v>0</v>
      </c>
      <c r="AA280" s="31">
        <f t="shared" si="35"/>
        <v>0</v>
      </c>
      <c r="AB280" s="31">
        <f t="shared" si="35"/>
        <v>0</v>
      </c>
      <c r="AC280" s="31">
        <f t="shared" si="35"/>
        <v>246397.50999999998</v>
      </c>
      <c r="AD280" s="31">
        <f t="shared" si="35"/>
        <v>330000</v>
      </c>
      <c r="AE280" s="31">
        <f t="shared" si="35"/>
        <v>0</v>
      </c>
      <c r="AF280" s="72" t="s">
        <v>776</v>
      </c>
      <c r="AG280" s="72" t="s">
        <v>776</v>
      </c>
      <c r="AH280" s="88" t="s">
        <v>776</v>
      </c>
      <c r="AT280" s="20" t="e">
        <f>VLOOKUP(C280,AW:AX,2,FALSE)</f>
        <v>#N/A</v>
      </c>
      <c r="BZ280" s="71">
        <v>17002898.350000001</v>
      </c>
      <c r="CD280" s="20" t="e">
        <f t="shared" si="34"/>
        <v>#N/A</v>
      </c>
    </row>
    <row r="281" spans="1:82" ht="61.5" x14ac:dyDescent="0.85">
      <c r="A281" s="20">
        <v>1</v>
      </c>
      <c r="B281" s="66">
        <f>SUBTOTAL(103,$A$22:A281)</f>
        <v>252</v>
      </c>
      <c r="C281" s="24" t="s">
        <v>675</v>
      </c>
      <c r="D281" s="31">
        <f>E281+F281+G281+H281+I281+J281+L281+N281+P281+R281+T281+U281+V281+W281+X281+Y281+Z281+AA281+AB281+AC281+AD281+AE281</f>
        <v>6202548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3">
        <v>0</v>
      </c>
      <c r="L281" s="31">
        <v>0</v>
      </c>
      <c r="M281" s="31">
        <v>1188</v>
      </c>
      <c r="N281" s="31">
        <v>5933544.8300000001</v>
      </c>
      <c r="O281" s="36">
        <v>0</v>
      </c>
      <c r="P281" s="36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f>ROUND(N281*1.5%,2)</f>
        <v>89003.17</v>
      </c>
      <c r="AD281" s="31">
        <v>180000</v>
      </c>
      <c r="AE281" s="31">
        <v>0</v>
      </c>
      <c r="AF281" s="34">
        <v>2020</v>
      </c>
      <c r="AG281" s="34">
        <v>2020</v>
      </c>
      <c r="AH281" s="35">
        <v>2020</v>
      </c>
      <c r="AT281" s="20" t="e">
        <f>VLOOKUP(C281,AW:AX,2,FALSE)</f>
        <v>#N/A</v>
      </c>
      <c r="BZ281" s="71"/>
      <c r="CD281" s="20" t="e">
        <f t="shared" si="34"/>
        <v>#N/A</v>
      </c>
    </row>
    <row r="282" spans="1:82" ht="61.5" x14ac:dyDescent="0.85">
      <c r="A282" s="20">
        <v>1</v>
      </c>
      <c r="B282" s="66">
        <f>SUBTOTAL(103,$A$22:A282)</f>
        <v>253</v>
      </c>
      <c r="C282" s="24" t="s">
        <v>672</v>
      </c>
      <c r="D282" s="31">
        <f>E282+F282+G282+H282+I282+J282+L282+N282+P282+R282+T282+U282+V282+W282+X282+Y282+Z282+AA282+AB282+AC282+AD282+AE282</f>
        <v>3579794.97</v>
      </c>
      <c r="E282" s="38">
        <v>0</v>
      </c>
      <c r="F282" s="38">
        <v>568509.12</v>
      </c>
      <c r="G282" s="31">
        <f>3222357.41-757038.8</f>
        <v>2465318.6100000003</v>
      </c>
      <c r="H282" s="38">
        <v>345280.61</v>
      </c>
      <c r="I282" s="38">
        <v>0</v>
      </c>
      <c r="J282" s="38">
        <v>0</v>
      </c>
      <c r="K282" s="33">
        <v>0</v>
      </c>
      <c r="L282" s="31">
        <v>0</v>
      </c>
      <c r="M282" s="31">
        <v>0</v>
      </c>
      <c r="N282" s="31">
        <v>0</v>
      </c>
      <c r="O282" s="38">
        <v>0</v>
      </c>
      <c r="P282" s="38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f>ROUND((E282+F282+G282+H282+I282+J282)*1.5%,2)</f>
        <v>50686.63</v>
      </c>
      <c r="AD282" s="31">
        <v>150000</v>
      </c>
      <c r="AE282" s="31">
        <v>0</v>
      </c>
      <c r="AF282" s="34">
        <v>2020</v>
      </c>
      <c r="AG282" s="34">
        <v>2020</v>
      </c>
      <c r="AH282" s="35">
        <v>2020</v>
      </c>
      <c r="AT282" s="20" t="e">
        <f>VLOOKUP(C282,AW:AX,2,FALSE)</f>
        <v>#N/A</v>
      </c>
      <c r="BZ282" s="71"/>
      <c r="CD282" s="20" t="e">
        <f t="shared" si="34"/>
        <v>#N/A</v>
      </c>
    </row>
    <row r="283" spans="1:82" ht="61.5" x14ac:dyDescent="0.85">
      <c r="A283" s="20">
        <v>1</v>
      </c>
      <c r="B283" s="66">
        <f>SUBTOTAL(103,$A$22:A283)</f>
        <v>254</v>
      </c>
      <c r="C283" s="24" t="s">
        <v>1226</v>
      </c>
      <c r="D283" s="31">
        <f>E283+F283+G283+H283+I283+J283+L283+N283+P283+R283+T283+U283+V283+W283+X283+Y283+Z283+AA283+AB283+AC283+AD283+AE283</f>
        <v>3650965.3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3">
        <v>0</v>
      </c>
      <c r="L283" s="31">
        <v>0</v>
      </c>
      <c r="M283" s="31">
        <v>789.35</v>
      </c>
      <c r="N283" s="31">
        <v>3597010.15</v>
      </c>
      <c r="O283" s="36">
        <v>0</v>
      </c>
      <c r="P283" s="36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f>ROUND(N283*1.5%,2)</f>
        <v>53955.15</v>
      </c>
      <c r="AD283" s="31">
        <v>0</v>
      </c>
      <c r="AE283" s="31">
        <v>0</v>
      </c>
      <c r="AF283" s="34" t="s">
        <v>274</v>
      </c>
      <c r="AG283" s="34">
        <v>2020</v>
      </c>
      <c r="AH283" s="35">
        <v>2020</v>
      </c>
      <c r="BZ283" s="71"/>
      <c r="CD283" s="20">
        <f t="shared" si="34"/>
        <v>855</v>
      </c>
    </row>
    <row r="284" spans="1:82" ht="61.5" x14ac:dyDescent="0.85">
      <c r="A284" s="20">
        <v>1</v>
      </c>
      <c r="B284" s="66">
        <f>SUBTOTAL(103,$A$22:A284)</f>
        <v>255</v>
      </c>
      <c r="C284" s="24" t="s">
        <v>1212</v>
      </c>
      <c r="D284" s="31">
        <f>E284+F284+G284+H284+I284+J284+L284+N284+P284+R284+T284+U284+V284+W284+X284+Y284+Z284+AA284+AB284+AC284+AD284+AE284</f>
        <v>3569590.08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3">
        <v>0</v>
      </c>
      <c r="L284" s="31">
        <v>0</v>
      </c>
      <c r="M284" s="31">
        <v>1155.9000000000001</v>
      </c>
      <c r="N284" s="31">
        <f>2738772.46+778065.06</f>
        <v>3516837.52</v>
      </c>
      <c r="O284" s="36">
        <v>0</v>
      </c>
      <c r="P284" s="36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f>ROUND(N284*1.5%,2)</f>
        <v>52752.56</v>
      </c>
      <c r="AD284" s="31">
        <v>0</v>
      </c>
      <c r="AE284" s="31">
        <v>0</v>
      </c>
      <c r="AF284" s="34" t="s">
        <v>274</v>
      </c>
      <c r="AG284" s="34">
        <v>2020</v>
      </c>
      <c r="AH284" s="35">
        <v>2020</v>
      </c>
      <c r="BZ284" s="71"/>
      <c r="CD284" s="20">
        <f t="shared" si="34"/>
        <v>1155.9000000000001</v>
      </c>
    </row>
    <row r="285" spans="1:82" ht="61.5" x14ac:dyDescent="0.85">
      <c r="B285" s="24" t="s">
        <v>1305</v>
      </c>
      <c r="C285" s="24"/>
      <c r="D285" s="31">
        <f>D286</f>
        <v>509455.14</v>
      </c>
      <c r="E285" s="31">
        <f t="shared" ref="E285:AE285" si="36">E286</f>
        <v>0</v>
      </c>
      <c r="F285" s="31">
        <f t="shared" si="36"/>
        <v>0</v>
      </c>
      <c r="G285" s="31">
        <f t="shared" si="36"/>
        <v>0</v>
      </c>
      <c r="H285" s="31">
        <f t="shared" si="36"/>
        <v>0</v>
      </c>
      <c r="I285" s="31">
        <f t="shared" si="36"/>
        <v>0</v>
      </c>
      <c r="J285" s="31">
        <f t="shared" si="36"/>
        <v>0</v>
      </c>
      <c r="K285" s="33">
        <f t="shared" si="36"/>
        <v>0</v>
      </c>
      <c r="L285" s="31">
        <f t="shared" si="36"/>
        <v>0</v>
      </c>
      <c r="M285" s="31">
        <f t="shared" si="36"/>
        <v>0</v>
      </c>
      <c r="N285" s="31">
        <f t="shared" si="36"/>
        <v>0</v>
      </c>
      <c r="O285" s="31">
        <f t="shared" si="36"/>
        <v>0</v>
      </c>
      <c r="P285" s="31">
        <f t="shared" si="36"/>
        <v>0</v>
      </c>
      <c r="Q285" s="31">
        <f t="shared" si="36"/>
        <v>0</v>
      </c>
      <c r="R285" s="31">
        <f t="shared" si="36"/>
        <v>0</v>
      </c>
      <c r="S285" s="31">
        <f t="shared" si="36"/>
        <v>0</v>
      </c>
      <c r="T285" s="31">
        <f t="shared" si="36"/>
        <v>0</v>
      </c>
      <c r="U285" s="31">
        <f t="shared" si="36"/>
        <v>0</v>
      </c>
      <c r="V285" s="31">
        <f t="shared" si="36"/>
        <v>501926.25</v>
      </c>
      <c r="W285" s="31">
        <f t="shared" si="36"/>
        <v>0</v>
      </c>
      <c r="X285" s="31">
        <f t="shared" si="36"/>
        <v>0</v>
      </c>
      <c r="Y285" s="31">
        <f t="shared" si="36"/>
        <v>0</v>
      </c>
      <c r="Z285" s="31">
        <f t="shared" si="36"/>
        <v>0</v>
      </c>
      <c r="AA285" s="31">
        <f t="shared" si="36"/>
        <v>0</v>
      </c>
      <c r="AB285" s="31">
        <f t="shared" si="36"/>
        <v>0</v>
      </c>
      <c r="AC285" s="31">
        <f t="shared" si="36"/>
        <v>7528.89</v>
      </c>
      <c r="AD285" s="31">
        <f t="shared" si="36"/>
        <v>0</v>
      </c>
      <c r="AE285" s="31">
        <f t="shared" si="36"/>
        <v>0</v>
      </c>
      <c r="AF285" s="72" t="s">
        <v>776</v>
      </c>
      <c r="AG285" s="72" t="s">
        <v>776</v>
      </c>
      <c r="AH285" s="88" t="s">
        <v>776</v>
      </c>
      <c r="BZ285" s="71">
        <v>509455.14</v>
      </c>
      <c r="CD285" s="20" t="e">
        <f t="shared" si="34"/>
        <v>#N/A</v>
      </c>
    </row>
    <row r="286" spans="1:82" ht="61.5" x14ac:dyDescent="0.85">
      <c r="A286" s="20">
        <v>1</v>
      </c>
      <c r="B286" s="66">
        <f>SUBTOTAL(103,$A$22:A286)</f>
        <v>256</v>
      </c>
      <c r="C286" s="24" t="s">
        <v>1211</v>
      </c>
      <c r="D286" s="31">
        <f>E286+F286+G286+H286+I286+J286+L286+N286+P286+R286+T286+U286+V286+W286+X286+Y286+Z286+AA286+AB286+AC286+AD286+AE286</f>
        <v>509455.14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3">
        <v>0</v>
      </c>
      <c r="L286" s="31">
        <v>0</v>
      </c>
      <c r="M286" s="31">
        <v>0</v>
      </c>
      <c r="N286" s="31">
        <v>0</v>
      </c>
      <c r="O286" s="36">
        <v>0</v>
      </c>
      <c r="P286" s="36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f>351650.11+150302.12-25.98</f>
        <v>501926.25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f>ROUND(V286*1.5%,2)</f>
        <v>7528.89</v>
      </c>
      <c r="AD286" s="31">
        <v>0</v>
      </c>
      <c r="AE286" s="31">
        <v>0</v>
      </c>
      <c r="AF286" s="34" t="s">
        <v>274</v>
      </c>
      <c r="AG286" s="34">
        <v>2020</v>
      </c>
      <c r="AH286" s="35">
        <v>2020</v>
      </c>
      <c r="BZ286" s="71"/>
      <c r="CD286" s="20" t="e">
        <f t="shared" si="34"/>
        <v>#N/A</v>
      </c>
    </row>
    <row r="287" spans="1:82" ht="61.5" x14ac:dyDescent="0.85">
      <c r="B287" s="24" t="s">
        <v>844</v>
      </c>
      <c r="C287" s="129"/>
      <c r="D287" s="31">
        <f>SUM(D288:D289)</f>
        <v>6197385.3000000007</v>
      </c>
      <c r="E287" s="31">
        <f t="shared" ref="E287:AE287" si="37">SUM(E288:E289)</f>
        <v>0</v>
      </c>
      <c r="F287" s="31">
        <f t="shared" si="37"/>
        <v>0</v>
      </c>
      <c r="G287" s="31">
        <f t="shared" si="37"/>
        <v>0</v>
      </c>
      <c r="H287" s="31">
        <f t="shared" si="37"/>
        <v>0</v>
      </c>
      <c r="I287" s="31">
        <f t="shared" si="37"/>
        <v>0</v>
      </c>
      <c r="J287" s="31">
        <f t="shared" si="37"/>
        <v>0</v>
      </c>
      <c r="K287" s="33">
        <f t="shared" si="37"/>
        <v>0</v>
      </c>
      <c r="L287" s="31">
        <f t="shared" si="37"/>
        <v>0</v>
      </c>
      <c r="M287" s="31">
        <f t="shared" si="37"/>
        <v>1265.96</v>
      </c>
      <c r="N287" s="31">
        <f t="shared" si="37"/>
        <v>6052344.71</v>
      </c>
      <c r="O287" s="31">
        <f t="shared" si="37"/>
        <v>0</v>
      </c>
      <c r="P287" s="31">
        <f t="shared" si="37"/>
        <v>0</v>
      </c>
      <c r="Q287" s="31">
        <f t="shared" si="37"/>
        <v>0</v>
      </c>
      <c r="R287" s="31">
        <f t="shared" si="37"/>
        <v>0</v>
      </c>
      <c r="S287" s="31">
        <f t="shared" si="37"/>
        <v>0</v>
      </c>
      <c r="T287" s="31">
        <f t="shared" si="37"/>
        <v>0</v>
      </c>
      <c r="U287" s="31">
        <f t="shared" si="37"/>
        <v>0</v>
      </c>
      <c r="V287" s="31">
        <f t="shared" si="37"/>
        <v>0</v>
      </c>
      <c r="W287" s="31">
        <f t="shared" si="37"/>
        <v>0</v>
      </c>
      <c r="X287" s="31">
        <f t="shared" si="37"/>
        <v>0</v>
      </c>
      <c r="Y287" s="31">
        <f t="shared" si="37"/>
        <v>0</v>
      </c>
      <c r="Z287" s="31">
        <f t="shared" si="37"/>
        <v>0</v>
      </c>
      <c r="AA287" s="31">
        <f t="shared" si="37"/>
        <v>0</v>
      </c>
      <c r="AB287" s="31">
        <f t="shared" si="37"/>
        <v>0</v>
      </c>
      <c r="AC287" s="31">
        <f t="shared" si="37"/>
        <v>22231.24</v>
      </c>
      <c r="AD287" s="31">
        <f t="shared" si="37"/>
        <v>122809.35</v>
      </c>
      <c r="AE287" s="31">
        <f t="shared" si="37"/>
        <v>0</v>
      </c>
      <c r="AF287" s="72" t="s">
        <v>776</v>
      </c>
      <c r="AG287" s="72" t="s">
        <v>776</v>
      </c>
      <c r="AH287" s="88" t="s">
        <v>776</v>
      </c>
      <c r="AT287" s="20" t="e">
        <f>VLOOKUP(C287,AW:AX,2,FALSE)</f>
        <v>#N/A</v>
      </c>
      <c r="BZ287" s="71">
        <v>6114371.4100000001</v>
      </c>
      <c r="CB287" s="71">
        <f>BZ287-D287</f>
        <v>-83013.890000000596</v>
      </c>
      <c r="CD287" s="20" t="e">
        <f t="shared" si="34"/>
        <v>#N/A</v>
      </c>
    </row>
    <row r="288" spans="1:82" ht="61.5" x14ac:dyDescent="0.85">
      <c r="A288" s="20">
        <v>1</v>
      </c>
      <c r="B288" s="66">
        <f>SUBTOTAL(103,$A$22:A288)</f>
        <v>257</v>
      </c>
      <c r="C288" s="24" t="s">
        <v>700</v>
      </c>
      <c r="D288" s="31">
        <f>E288+F288+G288+H288+I288+J288+L288+N288+P288+R288+T288+U288+V288+W288+X288+Y288+Z288+AA288+AB288+AC288+AD288+AE288</f>
        <v>5013881.0500000007</v>
      </c>
      <c r="E288" s="38">
        <v>0</v>
      </c>
      <c r="F288" s="38">
        <v>0</v>
      </c>
      <c r="G288" s="31">
        <v>0</v>
      </c>
      <c r="H288" s="38">
        <v>0</v>
      </c>
      <c r="I288" s="38">
        <v>0</v>
      </c>
      <c r="J288" s="38">
        <v>0</v>
      </c>
      <c r="K288" s="33">
        <v>0</v>
      </c>
      <c r="L288" s="31">
        <v>0</v>
      </c>
      <c r="M288" s="31">
        <v>1022</v>
      </c>
      <c r="N288" s="31">
        <f>4825702.23+83013.89-828.09-4</f>
        <v>4907884.03</v>
      </c>
      <c r="O288" s="38">
        <v>0</v>
      </c>
      <c r="P288" s="38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f>ROUND(N288*1.0125%,2)-29048.75-5000</f>
        <v>15643.580000000002</v>
      </c>
      <c r="AD288" s="31">
        <v>90353.44</v>
      </c>
      <c r="AE288" s="31">
        <v>0</v>
      </c>
      <c r="AF288" s="34">
        <v>2020</v>
      </c>
      <c r="AG288" s="34">
        <v>2020</v>
      </c>
      <c r="AH288" s="35">
        <v>2020</v>
      </c>
      <c r="AT288" s="20" t="e">
        <f>VLOOKUP(C288,AW:AX,2,FALSE)</f>
        <v>#N/A</v>
      </c>
      <c r="BZ288" s="71"/>
      <c r="CD288" s="20">
        <f t="shared" si="34"/>
        <v>1022</v>
      </c>
    </row>
    <row r="289" spans="1:82" ht="61.5" x14ac:dyDescent="0.85">
      <c r="A289" s="20">
        <v>1</v>
      </c>
      <c r="B289" s="66">
        <f>SUBTOTAL(103,$A$22:A289)</f>
        <v>258</v>
      </c>
      <c r="C289" s="24" t="s">
        <v>698</v>
      </c>
      <c r="D289" s="31">
        <f>E289+F289+G289+H289+I289+J289+L289+N289+P289+R289+T289+U289+V289+W289+X289+Y289+Z289+AA289+AB289+AC289+AD289+AE289</f>
        <v>1183504.2499999998</v>
      </c>
      <c r="E289" s="38">
        <v>0</v>
      </c>
      <c r="F289" s="38">
        <v>0</v>
      </c>
      <c r="G289" s="31">
        <v>0</v>
      </c>
      <c r="H289" s="38">
        <v>0</v>
      </c>
      <c r="I289" s="38">
        <v>0</v>
      </c>
      <c r="J289" s="38">
        <v>0</v>
      </c>
      <c r="K289" s="33">
        <v>0</v>
      </c>
      <c r="L289" s="31">
        <v>0</v>
      </c>
      <c r="M289" s="31">
        <v>243.96</v>
      </c>
      <c r="N289" s="31">
        <v>1144460.68</v>
      </c>
      <c r="O289" s="38">
        <v>0</v>
      </c>
      <c r="P289" s="38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f>ROUND(N289*1.0125%,2)-5000</f>
        <v>6587.66</v>
      </c>
      <c r="AD289" s="31">
        <v>32455.91</v>
      </c>
      <c r="AE289" s="31">
        <v>0</v>
      </c>
      <c r="AF289" s="34">
        <v>2020</v>
      </c>
      <c r="AG289" s="34">
        <v>2020</v>
      </c>
      <c r="AH289" s="35">
        <v>2020</v>
      </c>
      <c r="AT289" s="20" t="e">
        <f>VLOOKUP(C289,AW:AX,2,FALSE)</f>
        <v>#N/A</v>
      </c>
      <c r="BZ289" s="71"/>
      <c r="CD289" s="20">
        <f t="shared" si="34"/>
        <v>243.96</v>
      </c>
    </row>
    <row r="290" spans="1:82" ht="61.5" x14ac:dyDescent="0.85">
      <c r="B290" s="24" t="s">
        <v>845</v>
      </c>
      <c r="C290" s="24"/>
      <c r="D290" s="31">
        <f>SUM(D291:D295)</f>
        <v>12655548.699999999</v>
      </c>
      <c r="E290" s="31">
        <f t="shared" ref="E290:AE290" si="38">SUM(E291:E295)</f>
        <v>154554.67000000001</v>
      </c>
      <c r="F290" s="31">
        <f t="shared" si="38"/>
        <v>0</v>
      </c>
      <c r="G290" s="31">
        <f t="shared" si="38"/>
        <v>666330.31000000006</v>
      </c>
      <c r="H290" s="31">
        <f t="shared" si="38"/>
        <v>250573.85</v>
      </c>
      <c r="I290" s="31">
        <f t="shared" si="38"/>
        <v>0</v>
      </c>
      <c r="J290" s="31">
        <f t="shared" si="38"/>
        <v>0</v>
      </c>
      <c r="K290" s="33">
        <f t="shared" si="38"/>
        <v>0</v>
      </c>
      <c r="L290" s="31">
        <f t="shared" si="38"/>
        <v>0</v>
      </c>
      <c r="M290" s="31">
        <f t="shared" si="38"/>
        <v>0</v>
      </c>
      <c r="N290" s="31">
        <f t="shared" si="38"/>
        <v>0</v>
      </c>
      <c r="O290" s="31">
        <f t="shared" si="38"/>
        <v>339.3</v>
      </c>
      <c r="P290" s="31">
        <f t="shared" si="38"/>
        <v>2618206.87</v>
      </c>
      <c r="Q290" s="31">
        <f t="shared" si="38"/>
        <v>1907.2</v>
      </c>
      <c r="R290" s="31">
        <f t="shared" si="38"/>
        <v>8686047.7799999993</v>
      </c>
      <c r="S290" s="31">
        <f t="shared" si="38"/>
        <v>0</v>
      </c>
      <c r="T290" s="31">
        <f t="shared" si="38"/>
        <v>0</v>
      </c>
      <c r="U290" s="31">
        <f t="shared" si="38"/>
        <v>0</v>
      </c>
      <c r="V290" s="31">
        <f t="shared" si="38"/>
        <v>0</v>
      </c>
      <c r="W290" s="31">
        <f t="shared" si="38"/>
        <v>0</v>
      </c>
      <c r="X290" s="31">
        <f t="shared" si="38"/>
        <v>0</v>
      </c>
      <c r="Y290" s="31">
        <f t="shared" si="38"/>
        <v>0</v>
      </c>
      <c r="Z290" s="31">
        <f t="shared" si="38"/>
        <v>0</v>
      </c>
      <c r="AA290" s="31">
        <f t="shared" si="38"/>
        <v>0</v>
      </c>
      <c r="AB290" s="31">
        <f t="shared" si="38"/>
        <v>0</v>
      </c>
      <c r="AC290" s="31">
        <f t="shared" si="38"/>
        <v>184865.37999999998</v>
      </c>
      <c r="AD290" s="31">
        <f t="shared" si="38"/>
        <v>94969.84</v>
      </c>
      <c r="AE290" s="31">
        <f t="shared" si="38"/>
        <v>0</v>
      </c>
      <c r="AF290" s="72" t="s">
        <v>776</v>
      </c>
      <c r="AG290" s="72" t="s">
        <v>776</v>
      </c>
      <c r="AH290" s="88" t="s">
        <v>776</v>
      </c>
      <c r="AT290" s="20" t="e">
        <f>VLOOKUP(C290,AW:AX,2,FALSE)</f>
        <v>#N/A</v>
      </c>
      <c r="BZ290" s="71">
        <v>13474518.75</v>
      </c>
      <c r="CD290" s="20" t="e">
        <f t="shared" si="34"/>
        <v>#N/A</v>
      </c>
    </row>
    <row r="291" spans="1:82" ht="61.5" x14ac:dyDescent="0.85">
      <c r="A291" s="20">
        <v>1</v>
      </c>
      <c r="B291" s="66">
        <f>SUBTOTAL(103,$A$22:A291)</f>
        <v>259</v>
      </c>
      <c r="C291" s="24" t="s">
        <v>713</v>
      </c>
      <c r="D291" s="31">
        <f>E291+F291+G291+H291+I291+J291+L291+N291+P291+R291+T291+U291+V291+W291+X291+Y291+Z291+AA291+AB291+AC291+AD291+AE291</f>
        <v>2231310.1999999997</v>
      </c>
      <c r="E291" s="38">
        <v>0</v>
      </c>
      <c r="F291" s="38">
        <v>0</v>
      </c>
      <c r="G291" s="31">
        <v>0</v>
      </c>
      <c r="H291" s="38">
        <v>0</v>
      </c>
      <c r="I291" s="38">
        <v>0</v>
      </c>
      <c r="J291" s="38">
        <v>0</v>
      </c>
      <c r="K291" s="33">
        <v>0</v>
      </c>
      <c r="L291" s="31">
        <v>0</v>
      </c>
      <c r="M291" s="31">
        <v>0</v>
      </c>
      <c r="N291" s="31">
        <v>0</v>
      </c>
      <c r="O291" s="38">
        <v>0</v>
      </c>
      <c r="P291" s="38">
        <v>0</v>
      </c>
      <c r="Q291" s="31">
        <v>607.29999999999995</v>
      </c>
      <c r="R291" s="31">
        <v>2104768.83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f>ROUND(R291*1.5%,2)</f>
        <v>31571.53</v>
      </c>
      <c r="AD291" s="31">
        <v>94969.84</v>
      </c>
      <c r="AE291" s="31">
        <v>0</v>
      </c>
      <c r="AF291" s="34">
        <v>2020</v>
      </c>
      <c r="AG291" s="34">
        <v>2020</v>
      </c>
      <c r="AH291" s="35">
        <v>2020</v>
      </c>
      <c r="AT291" s="20" t="e">
        <f>VLOOKUP(C291,AW:AX,2,FALSE)</f>
        <v>#N/A</v>
      </c>
      <c r="BZ291" s="71"/>
      <c r="CD291" s="20" t="e">
        <f t="shared" si="34"/>
        <v>#N/A</v>
      </c>
    </row>
    <row r="292" spans="1:82" ht="61.5" x14ac:dyDescent="0.85">
      <c r="A292" s="20">
        <v>1</v>
      </c>
      <c r="B292" s="66">
        <f>SUBTOTAL(103,$A$22:A292)</f>
        <v>260</v>
      </c>
      <c r="C292" s="24" t="s">
        <v>1229</v>
      </c>
      <c r="D292" s="31">
        <f>E292+F292+G292+H292+I292+J292+L292+N292+P292+R292+T292+U292+V292+W292+X292+Y292+Z292+AA292+AB292+AC292+AD292+AE292</f>
        <v>3342143.64</v>
      </c>
      <c r="E292" s="38">
        <v>0</v>
      </c>
      <c r="F292" s="38">
        <v>0</v>
      </c>
      <c r="G292" s="31">
        <v>0</v>
      </c>
      <c r="H292" s="38">
        <v>0</v>
      </c>
      <c r="I292" s="38">
        <v>0</v>
      </c>
      <c r="J292" s="38">
        <v>0</v>
      </c>
      <c r="K292" s="33">
        <v>0</v>
      </c>
      <c r="L292" s="31">
        <v>0</v>
      </c>
      <c r="M292" s="31">
        <v>0</v>
      </c>
      <c r="N292" s="31">
        <v>0</v>
      </c>
      <c r="O292" s="38">
        <v>0</v>
      </c>
      <c r="P292" s="38">
        <v>0</v>
      </c>
      <c r="Q292" s="31">
        <v>647.20000000000005</v>
      </c>
      <c r="R292" s="31">
        <v>3292995.68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f>ROUND(R292*1.4925%,2)</f>
        <v>49147.96</v>
      </c>
      <c r="AD292" s="31">
        <v>0</v>
      </c>
      <c r="AE292" s="31">
        <v>0</v>
      </c>
      <c r="AF292" s="34" t="s">
        <v>274</v>
      </c>
      <c r="AG292" s="34">
        <v>2020</v>
      </c>
      <c r="AH292" s="35">
        <v>2020</v>
      </c>
      <c r="BZ292" s="71"/>
      <c r="CD292" s="20" t="e">
        <f t="shared" si="34"/>
        <v>#N/A</v>
      </c>
    </row>
    <row r="293" spans="1:82" ht="61.5" x14ac:dyDescent="0.85">
      <c r="A293" s="20">
        <v>1</v>
      </c>
      <c r="B293" s="66">
        <f>SUBTOTAL(103,$A$22:A293)</f>
        <v>261</v>
      </c>
      <c r="C293" s="24" t="s">
        <v>1230</v>
      </c>
      <c r="D293" s="31">
        <f>E293+F293+G293+H293+I293+J293+L293+N293+P293+R293+T293+U293+V293+W293+X293+Y293+Z293+AA293+AB293+AC293+AD293+AE293</f>
        <v>3337360.9</v>
      </c>
      <c r="E293" s="38">
        <v>0</v>
      </c>
      <c r="F293" s="38">
        <v>0</v>
      </c>
      <c r="G293" s="31">
        <v>0</v>
      </c>
      <c r="H293" s="38">
        <v>0</v>
      </c>
      <c r="I293" s="38">
        <v>0</v>
      </c>
      <c r="J293" s="38">
        <v>0</v>
      </c>
      <c r="K293" s="33">
        <v>0</v>
      </c>
      <c r="L293" s="31">
        <v>0</v>
      </c>
      <c r="M293" s="31">
        <v>0</v>
      </c>
      <c r="N293" s="31">
        <v>0</v>
      </c>
      <c r="O293" s="38">
        <v>0</v>
      </c>
      <c r="P293" s="38">
        <v>0</v>
      </c>
      <c r="Q293" s="31">
        <v>652.70000000000005</v>
      </c>
      <c r="R293" s="31">
        <v>3288283.27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f>ROUND(R293*1.4925%,2)</f>
        <v>49077.63</v>
      </c>
      <c r="AD293" s="31">
        <v>0</v>
      </c>
      <c r="AE293" s="31">
        <v>0</v>
      </c>
      <c r="AF293" s="34" t="s">
        <v>274</v>
      </c>
      <c r="AG293" s="34">
        <v>2020</v>
      </c>
      <c r="AH293" s="35">
        <v>2020</v>
      </c>
      <c r="BZ293" s="71"/>
      <c r="CD293" s="20" t="e">
        <f t="shared" si="34"/>
        <v>#N/A</v>
      </c>
    </row>
    <row r="294" spans="1:82" ht="61.5" x14ac:dyDescent="0.85">
      <c r="A294" s="20">
        <v>1</v>
      </c>
      <c r="B294" s="66">
        <f>SUBTOTAL(103,$A$22:A294)</f>
        <v>262</v>
      </c>
      <c r="C294" s="24" t="s">
        <v>1231</v>
      </c>
      <c r="D294" s="31">
        <f>E294+F294+G294+H294+I294+J294+L294+N294+P294+R294+T294+U294+V294+W294+X294+Y294+Z294+AA294+AB294+AC294+AD294+AE294</f>
        <v>1087450.3500000001</v>
      </c>
      <c r="E294" s="38">
        <v>154554.67000000001</v>
      </c>
      <c r="F294" s="38">
        <v>0</v>
      </c>
      <c r="G294" s="31">
        <v>666330.31000000006</v>
      </c>
      <c r="H294" s="38">
        <v>250573.85</v>
      </c>
      <c r="I294" s="38">
        <v>0</v>
      </c>
      <c r="J294" s="38">
        <v>0</v>
      </c>
      <c r="K294" s="33">
        <v>0</v>
      </c>
      <c r="L294" s="31">
        <v>0</v>
      </c>
      <c r="M294" s="31">
        <v>0</v>
      </c>
      <c r="N294" s="31">
        <v>0</v>
      </c>
      <c r="O294" s="38">
        <v>0</v>
      </c>
      <c r="P294" s="38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f>ROUND((E294+F294+G294+H294+I294+J294)*1.4925%,2)</f>
        <v>15991.52</v>
      </c>
      <c r="AD294" s="31">
        <v>0</v>
      </c>
      <c r="AE294" s="31">
        <v>0</v>
      </c>
      <c r="AF294" s="34" t="s">
        <v>274</v>
      </c>
      <c r="AG294" s="34">
        <v>2020</v>
      </c>
      <c r="AH294" s="35">
        <v>2020</v>
      </c>
      <c r="BZ294" s="71"/>
      <c r="CD294" s="20" t="e">
        <f t="shared" si="34"/>
        <v>#N/A</v>
      </c>
    </row>
    <row r="295" spans="1:82" ht="61.5" x14ac:dyDescent="0.85">
      <c r="A295" s="20">
        <v>1</v>
      </c>
      <c r="B295" s="66">
        <f>SUBTOTAL(103,$A$22:A295)</f>
        <v>263</v>
      </c>
      <c r="C295" s="24" t="s">
        <v>1232</v>
      </c>
      <c r="D295" s="31">
        <f>E295+F295+G295+H295+I295+J295+L295+N295+P295+R295+T295+U295+V295+W295+X295+Y295+Z295+AA295+AB295+AC295+AD295+AE295</f>
        <v>2657283.6100000003</v>
      </c>
      <c r="E295" s="38">
        <v>0</v>
      </c>
      <c r="F295" s="38">
        <v>0</v>
      </c>
      <c r="G295" s="31">
        <v>0</v>
      </c>
      <c r="H295" s="38">
        <v>0</v>
      </c>
      <c r="I295" s="38">
        <v>0</v>
      </c>
      <c r="J295" s="38">
        <v>0</v>
      </c>
      <c r="K295" s="33">
        <v>0</v>
      </c>
      <c r="L295" s="31">
        <v>0</v>
      </c>
      <c r="M295" s="31">
        <v>0</v>
      </c>
      <c r="N295" s="31">
        <v>0</v>
      </c>
      <c r="O295" s="38">
        <v>339.3</v>
      </c>
      <c r="P295" s="38">
        <v>2618206.87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f>ROUND(P295*1.4925%,2)</f>
        <v>39076.74</v>
      </c>
      <c r="AD295" s="31">
        <v>0</v>
      </c>
      <c r="AE295" s="31">
        <v>0</v>
      </c>
      <c r="AF295" s="34" t="s">
        <v>274</v>
      </c>
      <c r="AG295" s="34">
        <v>2020</v>
      </c>
      <c r="AH295" s="35">
        <v>2020</v>
      </c>
      <c r="BZ295" s="71"/>
      <c r="CD295" s="20" t="e">
        <f t="shared" si="34"/>
        <v>#N/A</v>
      </c>
    </row>
    <row r="296" spans="1:82" ht="61.5" x14ac:dyDescent="0.85">
      <c r="B296" s="24" t="s">
        <v>846</v>
      </c>
      <c r="C296" s="24"/>
      <c r="D296" s="31">
        <f>SUM(D297:D301)</f>
        <v>4997517.37</v>
      </c>
      <c r="E296" s="31">
        <f t="shared" ref="E296:AE296" si="39">SUM(E297:E301)</f>
        <v>132703.69</v>
      </c>
      <c r="F296" s="31">
        <f t="shared" si="39"/>
        <v>0</v>
      </c>
      <c r="G296" s="31">
        <f t="shared" si="39"/>
        <v>0</v>
      </c>
      <c r="H296" s="31">
        <f t="shared" si="39"/>
        <v>396684.17000000004</v>
      </c>
      <c r="I296" s="31">
        <f t="shared" si="39"/>
        <v>778512.22</v>
      </c>
      <c r="J296" s="31">
        <f t="shared" si="39"/>
        <v>0</v>
      </c>
      <c r="K296" s="33">
        <f t="shared" si="39"/>
        <v>0</v>
      </c>
      <c r="L296" s="31">
        <f t="shared" si="39"/>
        <v>0</v>
      </c>
      <c r="M296" s="31">
        <f t="shared" si="39"/>
        <v>647</v>
      </c>
      <c r="N296" s="31">
        <f t="shared" si="39"/>
        <v>3436573.44</v>
      </c>
      <c r="O296" s="31">
        <f t="shared" si="39"/>
        <v>0</v>
      </c>
      <c r="P296" s="31">
        <f t="shared" si="39"/>
        <v>0</v>
      </c>
      <c r="Q296" s="31">
        <f t="shared" si="39"/>
        <v>0</v>
      </c>
      <c r="R296" s="31">
        <f t="shared" si="39"/>
        <v>0</v>
      </c>
      <c r="S296" s="31">
        <f t="shared" si="39"/>
        <v>0</v>
      </c>
      <c r="T296" s="31">
        <f t="shared" si="39"/>
        <v>0</v>
      </c>
      <c r="U296" s="31">
        <f t="shared" si="39"/>
        <v>0</v>
      </c>
      <c r="V296" s="31">
        <f t="shared" si="39"/>
        <v>0</v>
      </c>
      <c r="W296" s="31">
        <f t="shared" si="39"/>
        <v>0</v>
      </c>
      <c r="X296" s="31">
        <f t="shared" si="39"/>
        <v>0</v>
      </c>
      <c r="Y296" s="31">
        <f t="shared" si="39"/>
        <v>0</v>
      </c>
      <c r="Z296" s="31">
        <f t="shared" si="39"/>
        <v>0</v>
      </c>
      <c r="AA296" s="31">
        <f t="shared" si="39"/>
        <v>0</v>
      </c>
      <c r="AB296" s="31">
        <f t="shared" si="39"/>
        <v>0</v>
      </c>
      <c r="AC296" s="31">
        <f t="shared" si="39"/>
        <v>71167.099999999991</v>
      </c>
      <c r="AD296" s="31">
        <f t="shared" si="39"/>
        <v>181876.75</v>
      </c>
      <c r="AE296" s="31">
        <f t="shared" si="39"/>
        <v>0</v>
      </c>
      <c r="AF296" s="72" t="s">
        <v>776</v>
      </c>
      <c r="AG296" s="72" t="s">
        <v>776</v>
      </c>
      <c r="AH296" s="88" t="s">
        <v>776</v>
      </c>
      <c r="AT296" s="20" t="e">
        <f>VLOOKUP(C296,AW:AX,2,FALSE)</f>
        <v>#N/A</v>
      </c>
      <c r="BZ296" s="71">
        <v>4109300.7899999996</v>
      </c>
      <c r="CD296" s="20" t="e">
        <f t="shared" si="34"/>
        <v>#N/A</v>
      </c>
    </row>
    <row r="297" spans="1:82" ht="61.5" x14ac:dyDescent="0.85">
      <c r="A297" s="20">
        <v>1</v>
      </c>
      <c r="B297" s="66">
        <f>SUBTOTAL(103,$A$22:A297)</f>
        <v>264</v>
      </c>
      <c r="C297" s="24" t="s">
        <v>714</v>
      </c>
      <c r="D297" s="31">
        <f>E297+F297+G297+H297+I297+J297+L297+N297+P297+R297+T297+U297+V297+W297+X297+Y297+Z297+AA297+AB297+AC297+AD297+AE297</f>
        <v>3572655.0300000003</v>
      </c>
      <c r="E297" s="38">
        <v>0</v>
      </c>
      <c r="F297" s="38">
        <v>0</v>
      </c>
      <c r="G297" s="31">
        <v>0</v>
      </c>
      <c r="H297" s="38">
        <v>0</v>
      </c>
      <c r="I297" s="38">
        <v>0</v>
      </c>
      <c r="J297" s="38">
        <v>0</v>
      </c>
      <c r="K297" s="33">
        <v>0</v>
      </c>
      <c r="L297" s="31">
        <v>0</v>
      </c>
      <c r="M297" s="31">
        <v>647</v>
      </c>
      <c r="N297" s="31">
        <v>3436573.44</v>
      </c>
      <c r="O297" s="38">
        <v>0</v>
      </c>
      <c r="P297" s="38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f>ROUND(N297*1.5%,2)</f>
        <v>51548.6</v>
      </c>
      <c r="AD297" s="31">
        <v>84532.99</v>
      </c>
      <c r="AE297" s="31">
        <v>0</v>
      </c>
      <c r="AF297" s="34">
        <v>2020</v>
      </c>
      <c r="AG297" s="34">
        <v>2020</v>
      </c>
      <c r="AH297" s="35">
        <v>2020</v>
      </c>
      <c r="AT297" s="20" t="e">
        <f>VLOOKUP(C297,AW:AX,2,FALSE)</f>
        <v>#N/A</v>
      </c>
      <c r="BZ297" s="71"/>
      <c r="CD297" s="20" t="e">
        <f t="shared" si="34"/>
        <v>#N/A</v>
      </c>
    </row>
    <row r="298" spans="1:82" ht="61.5" x14ac:dyDescent="0.85">
      <c r="A298" s="20">
        <v>1</v>
      </c>
      <c r="B298" s="66">
        <f>SUBTOTAL(103,$A$22:A298)</f>
        <v>265</v>
      </c>
      <c r="C298" s="24" t="s">
        <v>706</v>
      </c>
      <c r="D298" s="31">
        <f>E298+F298+G298+H298+I298+J298+L298+N298+P298+R298+T298+U298+V298+W298+X298+Y298+Z298+AA298+AB298+AC298+AD298+AE298</f>
        <v>144953.01</v>
      </c>
      <c r="E298" s="38">
        <v>0</v>
      </c>
      <c r="F298" s="38">
        <v>0</v>
      </c>
      <c r="G298" s="31">
        <v>0</v>
      </c>
      <c r="H298" s="38">
        <v>0</v>
      </c>
      <c r="I298" s="31">
        <v>108960.17000000001</v>
      </c>
      <c r="J298" s="38">
        <v>0</v>
      </c>
      <c r="K298" s="33">
        <v>0</v>
      </c>
      <c r="L298" s="31">
        <v>0</v>
      </c>
      <c r="M298" s="31">
        <v>0</v>
      </c>
      <c r="N298" s="31">
        <v>0</v>
      </c>
      <c r="O298" s="38">
        <v>0</v>
      </c>
      <c r="P298" s="38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f>ROUND((E298+F298+G298+H298+I298+J298)*1.5%,2)</f>
        <v>1634.4</v>
      </c>
      <c r="AD298" s="31">
        <v>34358.44</v>
      </c>
      <c r="AE298" s="31">
        <v>0</v>
      </c>
      <c r="AF298" s="34">
        <v>2020</v>
      </c>
      <c r="AG298" s="34">
        <v>2020</v>
      </c>
      <c r="AH298" s="35">
        <v>2020</v>
      </c>
      <c r="AT298" s="20" t="e">
        <f>VLOOKUP(C298,AW:AX,2,FALSE)</f>
        <v>#N/A</v>
      </c>
      <c r="BZ298" s="71"/>
      <c r="CD298" s="20" t="e">
        <f t="shared" si="34"/>
        <v>#N/A</v>
      </c>
    </row>
    <row r="299" spans="1:82" ht="61.5" x14ac:dyDescent="0.85">
      <c r="A299" s="20">
        <v>1</v>
      </c>
      <c r="B299" s="66">
        <f>SUBTOTAL(103,$A$22:A299)</f>
        <v>266</v>
      </c>
      <c r="C299" s="24" t="s">
        <v>705</v>
      </c>
      <c r="D299" s="31">
        <f>E299+F299+G299+H299+I299+J299+L299+N299+P299+R299+T299+U299+V299+W299+X299+Y299+Z299+AA299+AB299+AC299+AD299+AE299</f>
        <v>610721.7699999999</v>
      </c>
      <c r="E299" s="38">
        <v>0</v>
      </c>
      <c r="F299" s="38">
        <v>0</v>
      </c>
      <c r="G299" s="31">
        <v>0</v>
      </c>
      <c r="H299" s="38">
        <v>0</v>
      </c>
      <c r="I299" s="31">
        <v>539641.81999999995</v>
      </c>
      <c r="J299" s="38">
        <v>0</v>
      </c>
      <c r="K299" s="33">
        <v>0</v>
      </c>
      <c r="L299" s="31">
        <v>0</v>
      </c>
      <c r="M299" s="31">
        <v>0</v>
      </c>
      <c r="N299" s="31">
        <v>0</v>
      </c>
      <c r="O299" s="38">
        <v>0</v>
      </c>
      <c r="P299" s="38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f>ROUND((E299+F299+G299+H299+I299+J299)*1.5%,2)</f>
        <v>8094.63</v>
      </c>
      <c r="AD299" s="31">
        <v>62985.32</v>
      </c>
      <c r="AE299" s="31">
        <v>0</v>
      </c>
      <c r="AF299" s="34">
        <v>2020</v>
      </c>
      <c r="AG299" s="34">
        <v>2020</v>
      </c>
      <c r="AH299" s="35">
        <v>2020</v>
      </c>
      <c r="AT299" s="20" t="e">
        <f>VLOOKUP(C299,AW:AX,2,FALSE)</f>
        <v>#N/A</v>
      </c>
      <c r="BZ299" s="71"/>
      <c r="CD299" s="20" t="e">
        <f t="shared" si="34"/>
        <v>#N/A</v>
      </c>
    </row>
    <row r="300" spans="1:82" ht="61.5" x14ac:dyDescent="0.85">
      <c r="A300" s="20">
        <v>1</v>
      </c>
      <c r="B300" s="66">
        <f>SUBTOTAL(103,$A$22:A300)</f>
        <v>267</v>
      </c>
      <c r="C300" s="24" t="s">
        <v>1237</v>
      </c>
      <c r="D300" s="31">
        <f>E300+F300+G300+H300+I300+J300+L300+N300+P300+R300+T300+U300+V300+W300+X300+Y300+Z300+AA300+AB300+AC300+AD300+AE300</f>
        <v>457734.2</v>
      </c>
      <c r="E300" s="31">
        <f>131573.94+1129.75</f>
        <v>132703.69</v>
      </c>
      <c r="F300" s="38">
        <v>0</v>
      </c>
      <c r="G300" s="31">
        <v>0</v>
      </c>
      <c r="H300" s="38">
        <v>318265.97000000003</v>
      </c>
      <c r="I300" s="38">
        <v>0</v>
      </c>
      <c r="J300" s="38">
        <v>0</v>
      </c>
      <c r="K300" s="33">
        <v>0</v>
      </c>
      <c r="L300" s="31">
        <v>0</v>
      </c>
      <c r="M300" s="31">
        <v>0</v>
      </c>
      <c r="N300" s="31">
        <v>0</v>
      </c>
      <c r="O300" s="38">
        <v>0</v>
      </c>
      <c r="P300" s="38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f>ROUND((E300+F300+G300+H300+I300+J300)*1.5%,2)</f>
        <v>6764.54</v>
      </c>
      <c r="AD300" s="31">
        <v>0</v>
      </c>
      <c r="AE300" s="31">
        <v>0</v>
      </c>
      <c r="AF300" s="34" t="s">
        <v>274</v>
      </c>
      <c r="AG300" s="34">
        <v>2020</v>
      </c>
      <c r="AH300" s="35">
        <v>2020</v>
      </c>
      <c r="BZ300" s="71"/>
      <c r="CD300" s="20" t="e">
        <f t="shared" si="34"/>
        <v>#N/A</v>
      </c>
    </row>
    <row r="301" spans="1:82" ht="61.5" x14ac:dyDescent="0.85">
      <c r="A301" s="20">
        <v>1</v>
      </c>
      <c r="B301" s="66">
        <f>SUBTOTAL(103,$A$22:A301)</f>
        <v>268</v>
      </c>
      <c r="C301" s="24" t="s">
        <v>1238</v>
      </c>
      <c r="D301" s="31">
        <f>E301+F301+G301+H301+I301+J301+L301+N301+P301+R301+T301+U301+V301+W301+X301+Y301+Z301+AA301+AB301+AC301+AD301+AE301</f>
        <v>211453.36</v>
      </c>
      <c r="E301" s="38">
        <v>0</v>
      </c>
      <c r="F301" s="38">
        <v>0</v>
      </c>
      <c r="G301" s="31">
        <v>0</v>
      </c>
      <c r="H301" s="38">
        <v>78418.2</v>
      </c>
      <c r="I301" s="38">
        <v>129910.23</v>
      </c>
      <c r="J301" s="38">
        <v>0</v>
      </c>
      <c r="K301" s="33">
        <v>0</v>
      </c>
      <c r="L301" s="31">
        <v>0</v>
      </c>
      <c r="M301" s="31">
        <v>0</v>
      </c>
      <c r="N301" s="31">
        <v>0</v>
      </c>
      <c r="O301" s="38">
        <v>0</v>
      </c>
      <c r="P301" s="38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f>ROUND((E301+F301+G301+H301+I301+J301)*1.5%,2)</f>
        <v>3124.93</v>
      </c>
      <c r="AD301" s="31">
        <v>0</v>
      </c>
      <c r="AE301" s="31">
        <v>0</v>
      </c>
      <c r="AF301" s="34" t="s">
        <v>274</v>
      </c>
      <c r="AG301" s="34">
        <v>2020</v>
      </c>
      <c r="AH301" s="35">
        <v>2020</v>
      </c>
      <c r="BZ301" s="71"/>
      <c r="CD301" s="20" t="e">
        <f t="shared" si="34"/>
        <v>#N/A</v>
      </c>
    </row>
    <row r="302" spans="1:82" ht="61.5" x14ac:dyDescent="0.85">
      <c r="B302" s="24" t="s">
        <v>847</v>
      </c>
      <c r="C302" s="24"/>
      <c r="D302" s="31">
        <f>D303</f>
        <v>2006227.2900000003</v>
      </c>
      <c r="E302" s="31">
        <f t="shared" ref="E302:AE302" si="40">E303</f>
        <v>0</v>
      </c>
      <c r="F302" s="31">
        <f t="shared" si="40"/>
        <v>0</v>
      </c>
      <c r="G302" s="31">
        <f t="shared" si="40"/>
        <v>0</v>
      </c>
      <c r="H302" s="31">
        <f t="shared" si="40"/>
        <v>0</v>
      </c>
      <c r="I302" s="31">
        <f t="shared" si="40"/>
        <v>0</v>
      </c>
      <c r="J302" s="31">
        <f t="shared" si="40"/>
        <v>0</v>
      </c>
      <c r="K302" s="33">
        <f t="shared" si="40"/>
        <v>0</v>
      </c>
      <c r="L302" s="31">
        <f t="shared" si="40"/>
        <v>0</v>
      </c>
      <c r="M302" s="31">
        <f t="shared" si="40"/>
        <v>775.93</v>
      </c>
      <c r="N302" s="31">
        <f t="shared" si="40"/>
        <v>1845774.1</v>
      </c>
      <c r="O302" s="31">
        <f t="shared" si="40"/>
        <v>0</v>
      </c>
      <c r="P302" s="31">
        <f t="shared" si="40"/>
        <v>0</v>
      </c>
      <c r="Q302" s="31">
        <f t="shared" si="40"/>
        <v>0</v>
      </c>
      <c r="R302" s="31">
        <f t="shared" si="40"/>
        <v>0</v>
      </c>
      <c r="S302" s="31">
        <f t="shared" si="40"/>
        <v>0</v>
      </c>
      <c r="T302" s="31">
        <f t="shared" si="40"/>
        <v>0</v>
      </c>
      <c r="U302" s="31">
        <f t="shared" si="40"/>
        <v>0</v>
      </c>
      <c r="V302" s="31">
        <f t="shared" si="40"/>
        <v>0</v>
      </c>
      <c r="W302" s="31">
        <f t="shared" si="40"/>
        <v>0</v>
      </c>
      <c r="X302" s="31">
        <f t="shared" si="40"/>
        <v>0</v>
      </c>
      <c r="Y302" s="31">
        <f t="shared" si="40"/>
        <v>0</v>
      </c>
      <c r="Z302" s="31">
        <f t="shared" si="40"/>
        <v>0</v>
      </c>
      <c r="AA302" s="31">
        <f t="shared" si="40"/>
        <v>0</v>
      </c>
      <c r="AB302" s="31">
        <f t="shared" si="40"/>
        <v>0</v>
      </c>
      <c r="AC302" s="31">
        <f t="shared" si="40"/>
        <v>27686.61</v>
      </c>
      <c r="AD302" s="31">
        <f t="shared" si="40"/>
        <v>132766.57999999999</v>
      </c>
      <c r="AE302" s="31">
        <f t="shared" si="40"/>
        <v>0</v>
      </c>
      <c r="AF302" s="72" t="s">
        <v>776</v>
      </c>
      <c r="AG302" s="72" t="s">
        <v>776</v>
      </c>
      <c r="AH302" s="88" t="s">
        <v>776</v>
      </c>
      <c r="AT302" s="20" t="e">
        <f t="shared" ref="AT302:AT312" si="41">VLOOKUP(C302,AW:AX,2,FALSE)</f>
        <v>#N/A</v>
      </c>
      <c r="BZ302" s="71">
        <v>3674943.51</v>
      </c>
      <c r="CD302" s="20" t="e">
        <f t="shared" si="34"/>
        <v>#N/A</v>
      </c>
    </row>
    <row r="303" spans="1:82" ht="61.5" x14ac:dyDescent="0.85">
      <c r="A303" s="20">
        <v>1</v>
      </c>
      <c r="B303" s="66">
        <f>SUBTOTAL(103,$A$22:A303)</f>
        <v>269</v>
      </c>
      <c r="C303" s="24" t="s">
        <v>703</v>
      </c>
      <c r="D303" s="31">
        <f>E303+F303+G303+H303+I303+J303+L303+N303+P303+R303+T303+U303+V303+W303+X303+Y303+Z303+AA303+AB303+AC303+AD303+AE303</f>
        <v>2006227.2900000003</v>
      </c>
      <c r="E303" s="38">
        <v>0</v>
      </c>
      <c r="F303" s="38">
        <v>0</v>
      </c>
      <c r="G303" s="31">
        <v>0</v>
      </c>
      <c r="H303" s="38">
        <v>0</v>
      </c>
      <c r="I303" s="38">
        <v>0</v>
      </c>
      <c r="J303" s="38">
        <v>0</v>
      </c>
      <c r="K303" s="33">
        <v>0</v>
      </c>
      <c r="L303" s="31">
        <v>0</v>
      </c>
      <c r="M303" s="31">
        <v>775.93</v>
      </c>
      <c r="N303" s="31">
        <v>1845774.1</v>
      </c>
      <c r="O303" s="38">
        <v>0</v>
      </c>
      <c r="P303" s="38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f>ROUND(N303*1.5%,2)</f>
        <v>27686.61</v>
      </c>
      <c r="AD303" s="31">
        <v>132766.57999999999</v>
      </c>
      <c r="AE303" s="31">
        <v>0</v>
      </c>
      <c r="AF303" s="34">
        <v>2020</v>
      </c>
      <c r="AG303" s="34">
        <v>2020</v>
      </c>
      <c r="AH303" s="35">
        <v>2020</v>
      </c>
      <c r="AT303" s="20" t="e">
        <f t="shared" si="41"/>
        <v>#N/A</v>
      </c>
      <c r="BZ303" s="71"/>
      <c r="CD303" s="20" t="e">
        <f t="shared" si="34"/>
        <v>#N/A</v>
      </c>
    </row>
    <row r="304" spans="1:82" ht="61.5" x14ac:dyDescent="0.85">
      <c r="B304" s="24" t="s">
        <v>848</v>
      </c>
      <c r="C304" s="24"/>
      <c r="D304" s="31">
        <f>SUM(D305:D321)</f>
        <v>52327939.800000004</v>
      </c>
      <c r="E304" s="31">
        <f t="shared" ref="E304:AE304" si="42">SUM(E305:E321)</f>
        <v>0</v>
      </c>
      <c r="F304" s="31">
        <f t="shared" si="42"/>
        <v>0</v>
      </c>
      <c r="G304" s="31">
        <f t="shared" si="42"/>
        <v>0</v>
      </c>
      <c r="H304" s="31">
        <f t="shared" si="42"/>
        <v>0</v>
      </c>
      <c r="I304" s="31">
        <f t="shared" si="42"/>
        <v>0</v>
      </c>
      <c r="J304" s="31">
        <f t="shared" si="42"/>
        <v>0</v>
      </c>
      <c r="K304" s="33">
        <f t="shared" si="42"/>
        <v>6</v>
      </c>
      <c r="L304" s="31">
        <f t="shared" si="42"/>
        <v>9537770.9699999988</v>
      </c>
      <c r="M304" s="31">
        <f t="shared" si="42"/>
        <v>9059.0199999999986</v>
      </c>
      <c r="N304" s="31">
        <f t="shared" si="42"/>
        <v>35766396.07</v>
      </c>
      <c r="O304" s="31">
        <f t="shared" si="42"/>
        <v>0</v>
      </c>
      <c r="P304" s="31">
        <f t="shared" si="42"/>
        <v>0</v>
      </c>
      <c r="Q304" s="31">
        <f t="shared" si="42"/>
        <v>1525.24</v>
      </c>
      <c r="R304" s="31">
        <f t="shared" si="42"/>
        <v>4936345.04</v>
      </c>
      <c r="S304" s="31">
        <f t="shared" si="42"/>
        <v>0</v>
      </c>
      <c r="T304" s="31">
        <f t="shared" si="42"/>
        <v>0</v>
      </c>
      <c r="U304" s="31">
        <f t="shared" si="42"/>
        <v>0</v>
      </c>
      <c r="V304" s="31">
        <f t="shared" si="42"/>
        <v>0</v>
      </c>
      <c r="W304" s="31">
        <f t="shared" si="42"/>
        <v>0</v>
      </c>
      <c r="X304" s="31">
        <f t="shared" si="42"/>
        <v>0</v>
      </c>
      <c r="Y304" s="31">
        <f t="shared" si="42"/>
        <v>0</v>
      </c>
      <c r="Z304" s="31">
        <f t="shared" si="42"/>
        <v>0</v>
      </c>
      <c r="AA304" s="31">
        <f t="shared" si="42"/>
        <v>0</v>
      </c>
      <c r="AB304" s="31">
        <f t="shared" si="42"/>
        <v>0</v>
      </c>
      <c r="AC304" s="31">
        <f t="shared" si="42"/>
        <v>604648.56999999995</v>
      </c>
      <c r="AD304" s="31">
        <f t="shared" si="42"/>
        <v>882779.14999999991</v>
      </c>
      <c r="AE304" s="31">
        <f t="shared" si="42"/>
        <v>600000</v>
      </c>
      <c r="AF304" s="72" t="s">
        <v>776</v>
      </c>
      <c r="AG304" s="72" t="s">
        <v>776</v>
      </c>
      <c r="AH304" s="88" t="s">
        <v>776</v>
      </c>
      <c r="AT304" s="20" t="e">
        <f t="shared" si="41"/>
        <v>#N/A</v>
      </c>
      <c r="BZ304" s="71">
        <v>50473058.759999998</v>
      </c>
      <c r="CB304" s="71">
        <f>BZ304-D304</f>
        <v>-1854881.0400000066</v>
      </c>
      <c r="CD304" s="20" t="e">
        <f t="shared" si="34"/>
        <v>#N/A</v>
      </c>
    </row>
    <row r="305" spans="1:82" ht="61.5" x14ac:dyDescent="0.85">
      <c r="A305" s="20">
        <v>1</v>
      </c>
      <c r="B305" s="66">
        <f>SUBTOTAL(103,$A$22:A305)</f>
        <v>270</v>
      </c>
      <c r="C305" s="24" t="s">
        <v>707</v>
      </c>
      <c r="D305" s="31">
        <f t="shared" ref="D305:D321" si="43">E305+F305+G305+H305+I305+J305+L305+N305+P305+R305+T305+U305+V305+W305+X305+Y305+Z305+AA305+AB305+AC305+AD305+AE305</f>
        <v>4286171.88</v>
      </c>
      <c r="E305" s="38">
        <v>0</v>
      </c>
      <c r="F305" s="38">
        <v>0</v>
      </c>
      <c r="G305" s="31">
        <v>0</v>
      </c>
      <c r="H305" s="38">
        <v>0</v>
      </c>
      <c r="I305" s="38">
        <v>0</v>
      </c>
      <c r="J305" s="38">
        <v>0</v>
      </c>
      <c r="K305" s="33">
        <v>0</v>
      </c>
      <c r="L305" s="31">
        <v>0</v>
      </c>
      <c r="M305" s="31">
        <v>870</v>
      </c>
      <c r="N305" s="31">
        <v>4128766.21</v>
      </c>
      <c r="O305" s="38">
        <v>0</v>
      </c>
      <c r="P305" s="38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f>ROUND(N305*1.5%,2)</f>
        <v>61931.49</v>
      </c>
      <c r="AD305" s="31">
        <v>95474.18</v>
      </c>
      <c r="AE305" s="31">
        <v>0</v>
      </c>
      <c r="AF305" s="34">
        <v>2020</v>
      </c>
      <c r="AG305" s="34">
        <v>2020</v>
      </c>
      <c r="AH305" s="35">
        <v>2020</v>
      </c>
      <c r="AT305" s="20" t="e">
        <f t="shared" si="41"/>
        <v>#N/A</v>
      </c>
      <c r="BZ305" s="71"/>
      <c r="CD305" s="20" t="e">
        <f t="shared" si="34"/>
        <v>#N/A</v>
      </c>
    </row>
    <row r="306" spans="1:82" ht="61.5" x14ac:dyDescent="0.85">
      <c r="A306" s="20">
        <v>1</v>
      </c>
      <c r="B306" s="66">
        <f>SUBTOTAL(103,$A$22:A306)</f>
        <v>271</v>
      </c>
      <c r="C306" s="24" t="s">
        <v>691</v>
      </c>
      <c r="D306" s="31">
        <f t="shared" si="43"/>
        <v>6712811.0000000009</v>
      </c>
      <c r="E306" s="38">
        <v>0</v>
      </c>
      <c r="F306" s="38">
        <v>0</v>
      </c>
      <c r="G306" s="31">
        <v>0</v>
      </c>
      <c r="H306" s="38">
        <v>0</v>
      </c>
      <c r="I306" s="38">
        <v>0</v>
      </c>
      <c r="J306" s="38">
        <v>0</v>
      </c>
      <c r="K306" s="33">
        <v>0</v>
      </c>
      <c r="L306" s="31">
        <v>0</v>
      </c>
      <c r="M306" s="31">
        <v>1257</v>
      </c>
      <c r="N306" s="31">
        <v>6482430.1100000003</v>
      </c>
      <c r="O306" s="38">
        <v>0</v>
      </c>
      <c r="P306" s="38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f>ROUND(N306*1.5%,2)</f>
        <v>97236.45</v>
      </c>
      <c r="AD306" s="31">
        <v>133144.44</v>
      </c>
      <c r="AE306" s="31">
        <v>0</v>
      </c>
      <c r="AF306" s="34">
        <v>2020</v>
      </c>
      <c r="AG306" s="34">
        <v>2020</v>
      </c>
      <c r="AH306" s="35">
        <v>2020</v>
      </c>
      <c r="AT306" s="20" t="e">
        <f t="shared" si="41"/>
        <v>#N/A</v>
      </c>
      <c r="BZ306" s="71"/>
      <c r="CD306" s="20" t="e">
        <f t="shared" si="34"/>
        <v>#N/A</v>
      </c>
    </row>
    <row r="307" spans="1:82" ht="61.5" x14ac:dyDescent="0.85">
      <c r="A307" s="20">
        <v>1</v>
      </c>
      <c r="B307" s="66">
        <f>SUBTOTAL(103,$A$22:A307)</f>
        <v>272</v>
      </c>
      <c r="C307" s="24" t="s">
        <v>686</v>
      </c>
      <c r="D307" s="31">
        <f t="shared" si="43"/>
        <v>1863696.8900000001</v>
      </c>
      <c r="E307" s="38">
        <v>0</v>
      </c>
      <c r="F307" s="38">
        <v>0</v>
      </c>
      <c r="G307" s="31">
        <v>0</v>
      </c>
      <c r="H307" s="38">
        <v>0</v>
      </c>
      <c r="I307" s="38">
        <v>0</v>
      </c>
      <c r="J307" s="38">
        <v>0</v>
      </c>
      <c r="K307" s="33">
        <v>0</v>
      </c>
      <c r="L307" s="31">
        <v>0</v>
      </c>
      <c r="M307" s="31">
        <v>900</v>
      </c>
      <c r="N307" s="31">
        <v>1737919.55</v>
      </c>
      <c r="O307" s="38">
        <v>0</v>
      </c>
      <c r="P307" s="38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f>ROUND(N307*1.5%,2)</f>
        <v>26068.79</v>
      </c>
      <c r="AD307" s="31">
        <v>99708.55</v>
      </c>
      <c r="AE307" s="31">
        <v>0</v>
      </c>
      <c r="AF307" s="34">
        <v>2020</v>
      </c>
      <c r="AG307" s="34">
        <v>2020</v>
      </c>
      <c r="AH307" s="35">
        <v>2020</v>
      </c>
      <c r="AT307" s="20" t="e">
        <f t="shared" si="41"/>
        <v>#N/A</v>
      </c>
      <c r="BZ307" s="71"/>
      <c r="CD307" s="20">
        <f t="shared" si="34"/>
        <v>900</v>
      </c>
    </row>
    <row r="308" spans="1:82" ht="61.5" x14ac:dyDescent="0.85">
      <c r="A308" s="20">
        <v>1</v>
      </c>
      <c r="B308" s="66">
        <f>SUBTOTAL(103,$A$22:A308)</f>
        <v>273</v>
      </c>
      <c r="C308" s="24" t="s">
        <v>687</v>
      </c>
      <c r="D308" s="31">
        <f t="shared" si="43"/>
        <v>1863696.8900000001</v>
      </c>
      <c r="E308" s="38">
        <v>0</v>
      </c>
      <c r="F308" s="38">
        <v>0</v>
      </c>
      <c r="G308" s="31">
        <v>0</v>
      </c>
      <c r="H308" s="38">
        <v>0</v>
      </c>
      <c r="I308" s="38">
        <v>0</v>
      </c>
      <c r="J308" s="38">
        <v>0</v>
      </c>
      <c r="K308" s="33">
        <v>0</v>
      </c>
      <c r="L308" s="31">
        <v>0</v>
      </c>
      <c r="M308" s="31">
        <v>900</v>
      </c>
      <c r="N308" s="31">
        <v>1737919.55</v>
      </c>
      <c r="O308" s="38">
        <v>0</v>
      </c>
      <c r="P308" s="38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f>ROUND(N308*1.5%,2)</f>
        <v>26068.79</v>
      </c>
      <c r="AD308" s="31">
        <v>99708.55</v>
      </c>
      <c r="AE308" s="31">
        <v>0</v>
      </c>
      <c r="AF308" s="34">
        <v>2020</v>
      </c>
      <c r="AG308" s="34">
        <v>2020</v>
      </c>
      <c r="AH308" s="35">
        <v>2020</v>
      </c>
      <c r="AT308" s="20" t="e">
        <f t="shared" si="41"/>
        <v>#N/A</v>
      </c>
      <c r="BZ308" s="71"/>
      <c r="CD308" s="20">
        <f t="shared" si="34"/>
        <v>900</v>
      </c>
    </row>
    <row r="309" spans="1:82" ht="61.5" x14ac:dyDescent="0.85">
      <c r="A309" s="20">
        <v>1</v>
      </c>
      <c r="B309" s="66">
        <f>SUBTOTAL(103,$A$22:A309)</f>
        <v>274</v>
      </c>
      <c r="C309" s="24" t="s">
        <v>688</v>
      </c>
      <c r="D309" s="31">
        <f t="shared" si="43"/>
        <v>1863696.87</v>
      </c>
      <c r="E309" s="38">
        <v>0</v>
      </c>
      <c r="F309" s="38">
        <v>0</v>
      </c>
      <c r="G309" s="31">
        <v>0</v>
      </c>
      <c r="H309" s="38">
        <v>0</v>
      </c>
      <c r="I309" s="38">
        <v>0</v>
      </c>
      <c r="J309" s="38">
        <v>0</v>
      </c>
      <c r="K309" s="33">
        <v>0</v>
      </c>
      <c r="L309" s="31">
        <v>0</v>
      </c>
      <c r="M309" s="31">
        <v>900</v>
      </c>
      <c r="N309" s="31">
        <v>1737919.53</v>
      </c>
      <c r="O309" s="38">
        <v>0</v>
      </c>
      <c r="P309" s="38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f>ROUND(N309*1.5%,2)</f>
        <v>26068.79</v>
      </c>
      <c r="AD309" s="31">
        <v>99708.55</v>
      </c>
      <c r="AE309" s="31">
        <v>0</v>
      </c>
      <c r="AF309" s="34">
        <v>2020</v>
      </c>
      <c r="AG309" s="34">
        <v>2020</v>
      </c>
      <c r="AH309" s="35">
        <v>2020</v>
      </c>
      <c r="AT309" s="20" t="e">
        <f t="shared" si="41"/>
        <v>#N/A</v>
      </c>
      <c r="BZ309" s="71"/>
      <c r="CD309" s="20">
        <f t="shared" si="34"/>
        <v>900</v>
      </c>
    </row>
    <row r="310" spans="1:82" ht="61.5" x14ac:dyDescent="0.85">
      <c r="A310" s="20">
        <v>1</v>
      </c>
      <c r="B310" s="66">
        <f>SUBTOTAL(103,$A$22:A310)</f>
        <v>275</v>
      </c>
      <c r="C310" s="24" t="s">
        <v>681</v>
      </c>
      <c r="D310" s="31">
        <f t="shared" si="43"/>
        <v>4188237.53</v>
      </c>
      <c r="E310" s="38">
        <v>0</v>
      </c>
      <c r="F310" s="38">
        <v>0</v>
      </c>
      <c r="G310" s="31">
        <v>0</v>
      </c>
      <c r="H310" s="38">
        <v>0</v>
      </c>
      <c r="I310" s="38">
        <v>0</v>
      </c>
      <c r="J310" s="38">
        <v>0</v>
      </c>
      <c r="K310" s="33">
        <v>2</v>
      </c>
      <c r="L310" s="31">
        <v>4112047.09</v>
      </c>
      <c r="M310" s="31">
        <v>0</v>
      </c>
      <c r="N310" s="31">
        <v>0</v>
      </c>
      <c r="O310" s="38">
        <v>0</v>
      </c>
      <c r="P310" s="38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76190.44</v>
      </c>
      <c r="AE310" s="31">
        <v>0</v>
      </c>
      <c r="AF310" s="34">
        <v>2020</v>
      </c>
      <c r="AG310" s="34">
        <v>2020</v>
      </c>
      <c r="AH310" s="35" t="s">
        <v>274</v>
      </c>
      <c r="AT310" s="20" t="e">
        <f t="shared" si="41"/>
        <v>#N/A</v>
      </c>
      <c r="BZ310" s="71"/>
      <c r="CD310" s="20" t="e">
        <f t="shared" si="34"/>
        <v>#N/A</v>
      </c>
    </row>
    <row r="311" spans="1:82" ht="61.5" x14ac:dyDescent="0.85">
      <c r="A311" s="20">
        <v>1</v>
      </c>
      <c r="B311" s="66">
        <f>SUBTOTAL(103,$A$22:A311)</f>
        <v>276</v>
      </c>
      <c r="C311" s="24" t="s">
        <v>694</v>
      </c>
      <c r="D311" s="31">
        <f t="shared" si="43"/>
        <v>2668979.4699999997</v>
      </c>
      <c r="E311" s="38">
        <v>0</v>
      </c>
      <c r="F311" s="38">
        <v>0</v>
      </c>
      <c r="G311" s="31">
        <v>0</v>
      </c>
      <c r="H311" s="38">
        <v>0</v>
      </c>
      <c r="I311" s="38">
        <v>0</v>
      </c>
      <c r="J311" s="38">
        <v>0</v>
      </c>
      <c r="K311" s="33">
        <v>0</v>
      </c>
      <c r="L311" s="31">
        <v>0</v>
      </c>
      <c r="M311" s="31">
        <v>520.4</v>
      </c>
      <c r="N311" s="31">
        <f>2529482.48-118226.6</f>
        <v>2411255.88</v>
      </c>
      <c r="O311" s="38">
        <v>0</v>
      </c>
      <c r="P311" s="38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f>ROUND(N311*1.5%,2)</f>
        <v>36168.839999999997</v>
      </c>
      <c r="AD311" s="31">
        <v>101554.75</v>
      </c>
      <c r="AE311" s="31">
        <v>120000</v>
      </c>
      <c r="AF311" s="34">
        <v>2020</v>
      </c>
      <c r="AG311" s="34">
        <v>2020</v>
      </c>
      <c r="AH311" s="35">
        <v>2020</v>
      </c>
      <c r="AT311" s="20" t="e">
        <f t="shared" si="41"/>
        <v>#N/A</v>
      </c>
      <c r="BZ311" s="71"/>
      <c r="CD311" s="20" t="e">
        <f t="shared" si="34"/>
        <v>#N/A</v>
      </c>
    </row>
    <row r="312" spans="1:82" ht="61.5" x14ac:dyDescent="0.85">
      <c r="A312" s="20">
        <v>1</v>
      </c>
      <c r="B312" s="66">
        <f>SUBTOTAL(103,$A$22:A312)</f>
        <v>277</v>
      </c>
      <c r="C312" s="24" t="s">
        <v>682</v>
      </c>
      <c r="D312" s="31">
        <f t="shared" si="43"/>
        <v>5111669.0699999994</v>
      </c>
      <c r="E312" s="38">
        <v>0</v>
      </c>
      <c r="F312" s="38">
        <v>0</v>
      </c>
      <c r="G312" s="31">
        <v>0</v>
      </c>
      <c r="H312" s="38">
        <v>0</v>
      </c>
      <c r="I312" s="38">
        <v>0</v>
      </c>
      <c r="J312" s="38">
        <v>0</v>
      </c>
      <c r="K312" s="33">
        <v>0</v>
      </c>
      <c r="L312" s="31">
        <v>0</v>
      </c>
      <c r="M312" s="31">
        <v>991.5</v>
      </c>
      <c r="N312" s="31">
        <v>4933576.0599999996</v>
      </c>
      <c r="O312" s="38">
        <v>0</v>
      </c>
      <c r="P312" s="38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f>ROUND(N312*1.5%,2)</f>
        <v>74003.64</v>
      </c>
      <c r="AD312" s="31">
        <v>104089.37</v>
      </c>
      <c r="AE312" s="31">
        <v>0</v>
      </c>
      <c r="AF312" s="34">
        <v>2020</v>
      </c>
      <c r="AG312" s="34">
        <v>2020</v>
      </c>
      <c r="AH312" s="35">
        <v>2020</v>
      </c>
      <c r="AT312" s="20" t="e">
        <f t="shared" si="41"/>
        <v>#N/A</v>
      </c>
      <c r="BZ312" s="71"/>
      <c r="CD312" s="20" t="e">
        <f t="shared" si="34"/>
        <v>#N/A</v>
      </c>
    </row>
    <row r="313" spans="1:82" ht="61.5" x14ac:dyDescent="0.85">
      <c r="A313" s="20">
        <v>1</v>
      </c>
      <c r="B313" s="66">
        <f>SUBTOTAL(103,$A$22:A313)</f>
        <v>278</v>
      </c>
      <c r="C313" s="24" t="s">
        <v>678</v>
      </c>
      <c r="D313" s="31">
        <f t="shared" si="43"/>
        <v>2213600.19</v>
      </c>
      <c r="E313" s="38">
        <v>0</v>
      </c>
      <c r="F313" s="38">
        <v>0</v>
      </c>
      <c r="G313" s="31">
        <v>0</v>
      </c>
      <c r="H313" s="38">
        <v>0</v>
      </c>
      <c r="I313" s="38">
        <v>0</v>
      </c>
      <c r="J313" s="38">
        <v>0</v>
      </c>
      <c r="K313" s="33">
        <v>0</v>
      </c>
      <c r="L313" s="31">
        <v>0</v>
      </c>
      <c r="M313" s="31">
        <v>0</v>
      </c>
      <c r="N313" s="31">
        <v>0</v>
      </c>
      <c r="O313" s="38">
        <v>0</v>
      </c>
      <c r="P313" s="38">
        <v>0</v>
      </c>
      <c r="Q313" s="31">
        <v>719.43</v>
      </c>
      <c r="R313" s="31">
        <f>2079598.77+101288.12</f>
        <v>2180886.89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f>ROUND(R313*1.5%,2)</f>
        <v>32713.3</v>
      </c>
      <c r="AD313" s="31">
        <v>0</v>
      </c>
      <c r="AE313" s="31">
        <v>0</v>
      </c>
      <c r="AF313" s="34" t="s">
        <v>274</v>
      </c>
      <c r="AG313" s="34">
        <v>2020</v>
      </c>
      <c r="AH313" s="35">
        <v>2020</v>
      </c>
      <c r="BZ313" s="71"/>
      <c r="CD313" s="20" t="e">
        <f t="shared" si="34"/>
        <v>#N/A</v>
      </c>
    </row>
    <row r="314" spans="1:82" ht="61.5" x14ac:dyDescent="0.85">
      <c r="A314" s="20">
        <v>1</v>
      </c>
      <c r="B314" s="66">
        <f>SUBTOTAL(103,$A$22:A314)</f>
        <v>279</v>
      </c>
      <c r="C314" s="24" t="s">
        <v>1227</v>
      </c>
      <c r="D314" s="31">
        <f t="shared" si="43"/>
        <v>1981043.05</v>
      </c>
      <c r="E314" s="38">
        <v>0</v>
      </c>
      <c r="F314" s="38">
        <v>0</v>
      </c>
      <c r="G314" s="31">
        <v>0</v>
      </c>
      <c r="H314" s="38">
        <v>0</v>
      </c>
      <c r="I314" s="38">
        <v>0</v>
      </c>
      <c r="J314" s="38">
        <v>0</v>
      </c>
      <c r="K314" s="33">
        <v>0</v>
      </c>
      <c r="L314" s="31">
        <v>0</v>
      </c>
      <c r="M314" s="31">
        <v>407.8</v>
      </c>
      <c r="N314" s="31">
        <v>1833539.95</v>
      </c>
      <c r="O314" s="38">
        <v>0</v>
      </c>
      <c r="P314" s="38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f>ROUND(N314*1.5%,2)</f>
        <v>27503.1</v>
      </c>
      <c r="AD314" s="31">
        <v>0</v>
      </c>
      <c r="AE314" s="31">
        <v>120000</v>
      </c>
      <c r="AF314" s="34" t="s">
        <v>274</v>
      </c>
      <c r="AG314" s="34">
        <v>2020</v>
      </c>
      <c r="AH314" s="35">
        <v>2020</v>
      </c>
      <c r="BZ314" s="71"/>
      <c r="CD314" s="20">
        <f t="shared" si="34"/>
        <v>407.8</v>
      </c>
    </row>
    <row r="315" spans="1:82" ht="61.5" x14ac:dyDescent="0.85">
      <c r="A315" s="20">
        <v>1</v>
      </c>
      <c r="B315" s="66">
        <f>SUBTOTAL(103,$A$22:A315)</f>
        <v>280</v>
      </c>
      <c r="C315" s="24" t="s">
        <v>1228</v>
      </c>
      <c r="D315" s="31">
        <f t="shared" si="43"/>
        <v>4741640.8400000008</v>
      </c>
      <c r="E315" s="38">
        <v>0</v>
      </c>
      <c r="F315" s="38">
        <v>0</v>
      </c>
      <c r="G315" s="31">
        <v>0</v>
      </c>
      <c r="H315" s="38">
        <v>0</v>
      </c>
      <c r="I315" s="38">
        <v>0</v>
      </c>
      <c r="J315" s="38">
        <v>0</v>
      </c>
      <c r="K315" s="33">
        <v>0</v>
      </c>
      <c r="L315" s="31">
        <v>0</v>
      </c>
      <c r="M315" s="31">
        <v>953.5</v>
      </c>
      <c r="N315" s="31">
        <v>4553340.7300000004</v>
      </c>
      <c r="O315" s="38">
        <v>0</v>
      </c>
      <c r="P315" s="38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f>ROUND(N315*1.5%,2)</f>
        <v>68300.11</v>
      </c>
      <c r="AD315" s="31">
        <v>0</v>
      </c>
      <c r="AE315" s="31">
        <v>120000</v>
      </c>
      <c r="AF315" s="34" t="s">
        <v>274</v>
      </c>
      <c r="AG315" s="34">
        <v>2020</v>
      </c>
      <c r="AH315" s="35">
        <v>2020</v>
      </c>
      <c r="BZ315" s="71"/>
      <c r="CD315" s="20">
        <f t="shared" si="34"/>
        <v>953.5</v>
      </c>
    </row>
    <row r="316" spans="1:82" ht="61.5" x14ac:dyDescent="0.85">
      <c r="A316" s="20">
        <v>1</v>
      </c>
      <c r="B316" s="66">
        <f>SUBTOTAL(103,$A$22:A316)</f>
        <v>281</v>
      </c>
      <c r="C316" s="24" t="s">
        <v>1233</v>
      </c>
      <c r="D316" s="31">
        <f t="shared" si="43"/>
        <v>5425723.8799999999</v>
      </c>
      <c r="E316" s="38">
        <v>0</v>
      </c>
      <c r="F316" s="38">
        <v>0</v>
      </c>
      <c r="G316" s="31">
        <v>0</v>
      </c>
      <c r="H316" s="38">
        <v>0</v>
      </c>
      <c r="I316" s="38">
        <v>0</v>
      </c>
      <c r="J316" s="38">
        <v>0</v>
      </c>
      <c r="K316" s="33">
        <v>4</v>
      </c>
      <c r="L316" s="31">
        <v>5425723.8799999999</v>
      </c>
      <c r="M316" s="31">
        <v>0</v>
      </c>
      <c r="N316" s="31">
        <v>0</v>
      </c>
      <c r="O316" s="38">
        <v>0</v>
      </c>
      <c r="P316" s="38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4" t="s">
        <v>274</v>
      </c>
      <c r="AG316" s="34">
        <v>2020</v>
      </c>
      <c r="AH316" s="35" t="s">
        <v>274</v>
      </c>
      <c r="BZ316" s="71"/>
      <c r="CD316" s="20" t="e">
        <f t="shared" si="34"/>
        <v>#N/A</v>
      </c>
    </row>
    <row r="317" spans="1:82" ht="61.5" x14ac:dyDescent="0.85">
      <c r="A317" s="20">
        <v>1</v>
      </c>
      <c r="B317" s="66">
        <f>SUBTOTAL(103,$A$22:A317)</f>
        <v>282</v>
      </c>
      <c r="C317" s="24" t="s">
        <v>1234</v>
      </c>
      <c r="D317" s="31">
        <f t="shared" si="43"/>
        <v>964103.66999999993</v>
      </c>
      <c r="E317" s="38">
        <v>0</v>
      </c>
      <c r="F317" s="38">
        <v>0</v>
      </c>
      <c r="G317" s="31">
        <v>0</v>
      </c>
      <c r="H317" s="38">
        <v>0</v>
      </c>
      <c r="I317" s="38">
        <v>0</v>
      </c>
      <c r="J317" s="38">
        <v>0</v>
      </c>
      <c r="K317" s="33">
        <v>0</v>
      </c>
      <c r="L317" s="31">
        <v>0</v>
      </c>
      <c r="M317" s="31">
        <v>0</v>
      </c>
      <c r="N317" s="31">
        <v>0</v>
      </c>
      <c r="O317" s="38">
        <v>0</v>
      </c>
      <c r="P317" s="38">
        <v>0</v>
      </c>
      <c r="Q317" s="31">
        <v>415.14</v>
      </c>
      <c r="R317" s="31">
        <v>949855.83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f>ROUND(R317*1.5%,2)</f>
        <v>14247.84</v>
      </c>
      <c r="AD317" s="31">
        <v>0</v>
      </c>
      <c r="AE317" s="31">
        <v>0</v>
      </c>
      <c r="AF317" s="34" t="s">
        <v>274</v>
      </c>
      <c r="AG317" s="34">
        <v>2020</v>
      </c>
      <c r="AH317" s="35">
        <v>2020</v>
      </c>
      <c r="BZ317" s="71"/>
      <c r="CD317" s="20" t="e">
        <f t="shared" si="34"/>
        <v>#N/A</v>
      </c>
    </row>
    <row r="318" spans="1:82" ht="61.5" x14ac:dyDescent="0.85">
      <c r="A318" s="20">
        <v>1</v>
      </c>
      <c r="B318" s="66">
        <f>SUBTOTAL(103,$A$22:A318)</f>
        <v>283</v>
      </c>
      <c r="C318" s="24" t="s">
        <v>1235</v>
      </c>
      <c r="D318" s="31">
        <f t="shared" si="43"/>
        <v>1832686.35</v>
      </c>
      <c r="E318" s="38">
        <v>0</v>
      </c>
      <c r="F318" s="38">
        <v>0</v>
      </c>
      <c r="G318" s="31">
        <v>0</v>
      </c>
      <c r="H318" s="38">
        <v>0</v>
      </c>
      <c r="I318" s="38">
        <v>0</v>
      </c>
      <c r="J318" s="38">
        <v>0</v>
      </c>
      <c r="K318" s="33">
        <v>0</v>
      </c>
      <c r="L318" s="31">
        <v>0</v>
      </c>
      <c r="M318" s="31">
        <v>0</v>
      </c>
      <c r="N318" s="31">
        <v>0</v>
      </c>
      <c r="O318" s="38">
        <v>0</v>
      </c>
      <c r="P318" s="38">
        <v>0</v>
      </c>
      <c r="Q318" s="31">
        <v>390.67</v>
      </c>
      <c r="R318" s="31">
        <v>1805602.32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f>ROUND(R318*1.5%,2)</f>
        <v>27084.03</v>
      </c>
      <c r="AD318" s="31">
        <v>0</v>
      </c>
      <c r="AE318" s="31">
        <v>0</v>
      </c>
      <c r="AF318" s="34" t="s">
        <v>274</v>
      </c>
      <c r="AG318" s="34">
        <v>2020</v>
      </c>
      <c r="AH318" s="35">
        <v>2020</v>
      </c>
      <c r="BZ318" s="71"/>
      <c r="CD318" s="20" t="e">
        <f t="shared" si="34"/>
        <v>#N/A</v>
      </c>
    </row>
    <row r="319" spans="1:82" ht="61.5" x14ac:dyDescent="0.85">
      <c r="A319" s="20">
        <v>1</v>
      </c>
      <c r="B319" s="66">
        <f>SUBTOTAL(103,$A$22:A319)</f>
        <v>284</v>
      </c>
      <c r="C319" s="24" t="s">
        <v>1236</v>
      </c>
      <c r="D319" s="31">
        <f t="shared" si="43"/>
        <v>3633149.1899999995</v>
      </c>
      <c r="E319" s="38">
        <v>0</v>
      </c>
      <c r="F319" s="38">
        <v>0</v>
      </c>
      <c r="G319" s="31">
        <v>0</v>
      </c>
      <c r="H319" s="38">
        <v>0</v>
      </c>
      <c r="I319" s="38">
        <v>0</v>
      </c>
      <c r="J319" s="38">
        <v>0</v>
      </c>
      <c r="K319" s="33">
        <v>0</v>
      </c>
      <c r="L319" s="31">
        <v>0</v>
      </c>
      <c r="M319" s="31">
        <v>738.92</v>
      </c>
      <c r="N319" s="31">
        <v>3507338.7899999996</v>
      </c>
      <c r="O319" s="38">
        <v>0</v>
      </c>
      <c r="P319" s="38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f>ROUND(N319*1.5%,2)</f>
        <v>52610.080000000002</v>
      </c>
      <c r="AD319" s="183">
        <v>73200.320000000007</v>
      </c>
      <c r="AE319" s="31">
        <v>0</v>
      </c>
      <c r="AF319" s="34">
        <v>2020</v>
      </c>
      <c r="AG319" s="34">
        <v>2020</v>
      </c>
      <c r="AH319" s="35">
        <v>2020</v>
      </c>
      <c r="BZ319" s="71"/>
      <c r="CD319" s="20">
        <f t="shared" si="34"/>
        <v>738.92</v>
      </c>
    </row>
    <row r="320" spans="1:82" ht="61.5" x14ac:dyDescent="0.85">
      <c r="A320" s="20">
        <v>1</v>
      </c>
      <c r="B320" s="66">
        <f>SUBTOTAL(103,$A$22:A320)</f>
        <v>285</v>
      </c>
      <c r="C320" s="24" t="s">
        <v>1584</v>
      </c>
      <c r="D320" s="31">
        <f t="shared" si="43"/>
        <v>1322373.3</v>
      </c>
      <c r="E320" s="38">
        <v>0</v>
      </c>
      <c r="F320" s="38">
        <v>0</v>
      </c>
      <c r="G320" s="31">
        <v>0</v>
      </c>
      <c r="H320" s="38">
        <v>0</v>
      </c>
      <c r="I320" s="38">
        <v>0</v>
      </c>
      <c r="J320" s="38">
        <v>0</v>
      </c>
      <c r="K320" s="33">
        <v>0</v>
      </c>
      <c r="L320" s="31">
        <v>0</v>
      </c>
      <c r="M320" s="31">
        <v>275.39999999999998</v>
      </c>
      <c r="N320" s="31">
        <v>1190409.68</v>
      </c>
      <c r="O320" s="38">
        <v>0</v>
      </c>
      <c r="P320" s="38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11963.62</v>
      </c>
      <c r="AD320" s="31">
        <v>0</v>
      </c>
      <c r="AE320" s="31">
        <v>120000</v>
      </c>
      <c r="AF320" s="34" t="s">
        <v>274</v>
      </c>
      <c r="AG320" s="34">
        <v>2020</v>
      </c>
      <c r="AH320" s="35">
        <v>2020</v>
      </c>
      <c r="BZ320" s="71"/>
      <c r="CD320" s="20">
        <f t="shared" si="34"/>
        <v>275.39999999999998</v>
      </c>
    </row>
    <row r="321" spans="1:82" ht="61.5" x14ac:dyDescent="0.85">
      <c r="A321" s="20">
        <v>1</v>
      </c>
      <c r="B321" s="66">
        <f>SUBTOTAL(103,$A$22:A321)</f>
        <v>286</v>
      </c>
      <c r="C321" s="24" t="s">
        <v>1594</v>
      </c>
      <c r="D321" s="31">
        <f t="shared" si="43"/>
        <v>1654659.73</v>
      </c>
      <c r="E321" s="38">
        <v>0</v>
      </c>
      <c r="F321" s="38">
        <v>0</v>
      </c>
      <c r="G321" s="31">
        <v>0</v>
      </c>
      <c r="H321" s="38">
        <v>0</v>
      </c>
      <c r="I321" s="38">
        <v>0</v>
      </c>
      <c r="J321" s="38">
        <v>0</v>
      </c>
      <c r="K321" s="33">
        <v>0</v>
      </c>
      <c r="L321" s="31">
        <v>0</v>
      </c>
      <c r="M321" s="31">
        <v>344.5</v>
      </c>
      <c r="N321" s="31">
        <v>1511980.03</v>
      </c>
      <c r="O321" s="38">
        <v>0</v>
      </c>
      <c r="P321" s="38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f>ROUND(N321*1.5%,2)</f>
        <v>22679.7</v>
      </c>
      <c r="AD321" s="31">
        <v>0</v>
      </c>
      <c r="AE321" s="31">
        <v>120000</v>
      </c>
      <c r="AF321" s="34" t="s">
        <v>274</v>
      </c>
      <c r="AG321" s="34">
        <v>2020</v>
      </c>
      <c r="AH321" s="35">
        <v>2020</v>
      </c>
      <c r="BZ321" s="71"/>
      <c r="CD321" s="20">
        <f t="shared" si="34"/>
        <v>344.5</v>
      </c>
    </row>
    <row r="322" spans="1:82" ht="61.5" x14ac:dyDescent="0.85">
      <c r="B322" s="24" t="s">
        <v>849</v>
      </c>
      <c r="C322" s="129"/>
      <c r="D322" s="31">
        <f t="shared" ref="D322:AE322" si="44">SUM(D323:D338)</f>
        <v>34780549.410000004</v>
      </c>
      <c r="E322" s="31">
        <f t="shared" si="44"/>
        <v>315048.13</v>
      </c>
      <c r="F322" s="31">
        <f t="shared" si="44"/>
        <v>0</v>
      </c>
      <c r="G322" s="31">
        <f t="shared" si="44"/>
        <v>0</v>
      </c>
      <c r="H322" s="31">
        <f t="shared" si="44"/>
        <v>550227.06000000006</v>
      </c>
      <c r="I322" s="31">
        <f t="shared" si="44"/>
        <v>2416780.3199999998</v>
      </c>
      <c r="J322" s="31">
        <f t="shared" si="44"/>
        <v>0</v>
      </c>
      <c r="K322" s="33">
        <f t="shared" si="44"/>
        <v>0</v>
      </c>
      <c r="L322" s="31">
        <f t="shared" si="44"/>
        <v>0</v>
      </c>
      <c r="M322" s="31">
        <f t="shared" si="44"/>
        <v>4313.82</v>
      </c>
      <c r="N322" s="31">
        <f t="shared" si="44"/>
        <v>18800798.84</v>
      </c>
      <c r="O322" s="31">
        <f t="shared" si="44"/>
        <v>0</v>
      </c>
      <c r="P322" s="31">
        <f t="shared" si="44"/>
        <v>0</v>
      </c>
      <c r="Q322" s="31">
        <f t="shared" si="44"/>
        <v>2271.61</v>
      </c>
      <c r="R322" s="31">
        <f t="shared" si="44"/>
        <v>9817149.879999999</v>
      </c>
      <c r="S322" s="31">
        <f t="shared" si="44"/>
        <v>84.3</v>
      </c>
      <c r="T322" s="31">
        <f t="shared" si="44"/>
        <v>1784615.64</v>
      </c>
      <c r="U322" s="31">
        <f t="shared" si="44"/>
        <v>0</v>
      </c>
      <c r="V322" s="31">
        <f t="shared" si="44"/>
        <v>0</v>
      </c>
      <c r="W322" s="31">
        <f t="shared" si="44"/>
        <v>0</v>
      </c>
      <c r="X322" s="31">
        <f t="shared" si="44"/>
        <v>0</v>
      </c>
      <c r="Y322" s="31">
        <f t="shared" si="44"/>
        <v>0</v>
      </c>
      <c r="Z322" s="31">
        <f t="shared" si="44"/>
        <v>0</v>
      </c>
      <c r="AA322" s="31">
        <f t="shared" si="44"/>
        <v>0</v>
      </c>
      <c r="AB322" s="31">
        <f t="shared" si="44"/>
        <v>0</v>
      </c>
      <c r="AC322" s="31">
        <f t="shared" si="44"/>
        <v>505269.27999999997</v>
      </c>
      <c r="AD322" s="31">
        <f t="shared" si="44"/>
        <v>470660.26</v>
      </c>
      <c r="AE322" s="31">
        <f t="shared" si="44"/>
        <v>120000</v>
      </c>
      <c r="AF322" s="72" t="s">
        <v>776</v>
      </c>
      <c r="AG322" s="72" t="s">
        <v>776</v>
      </c>
      <c r="AH322" s="88" t="s">
        <v>776</v>
      </c>
      <c r="AT322" s="20" t="e">
        <f t="shared" ref="AT322:AT328" si="45">VLOOKUP(C322,AW:AX,2,FALSE)</f>
        <v>#N/A</v>
      </c>
      <c r="BZ322" s="71">
        <v>38859598.050000004</v>
      </c>
      <c r="CB322" s="71">
        <f>BZ322-D322</f>
        <v>4079048.6400000006</v>
      </c>
      <c r="CD322" s="20" t="e">
        <f t="shared" si="34"/>
        <v>#N/A</v>
      </c>
    </row>
    <row r="323" spans="1:82" ht="61.5" x14ac:dyDescent="0.85">
      <c r="A323" s="20">
        <v>1</v>
      </c>
      <c r="B323" s="66">
        <f>SUBTOTAL(103,$A$22:A323)</f>
        <v>287</v>
      </c>
      <c r="C323" s="24" t="s">
        <v>236</v>
      </c>
      <c r="D323" s="31">
        <f t="shared" ref="D323:D338" si="46">E323+F323+G323+H323+I323+J323+L323+N323+P323+R323+T323+U323+V323+W323+X323+Y323+Z323+AA323+AB323+AC323+AD323+AE323</f>
        <v>1565544.36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3">
        <v>0</v>
      </c>
      <c r="L323" s="31">
        <v>0</v>
      </c>
      <c r="M323" s="31">
        <v>318.7</v>
      </c>
      <c r="N323" s="31">
        <v>1483123.15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f>ROUND(N323*1.5%,2)</f>
        <v>22246.85</v>
      </c>
      <c r="AD323" s="31">
        <v>60174.36</v>
      </c>
      <c r="AE323" s="31">
        <v>0</v>
      </c>
      <c r="AF323" s="34">
        <v>2020</v>
      </c>
      <c r="AG323" s="34">
        <v>2020</v>
      </c>
      <c r="AH323" s="35">
        <v>2020</v>
      </c>
      <c r="AT323" s="20" t="e">
        <f t="shared" si="45"/>
        <v>#N/A</v>
      </c>
      <c r="BZ323" s="71"/>
      <c r="CD323" s="20" t="e">
        <f t="shared" si="34"/>
        <v>#N/A</v>
      </c>
    </row>
    <row r="324" spans="1:82" ht="61.5" x14ac:dyDescent="0.85">
      <c r="A324" s="20">
        <v>1</v>
      </c>
      <c r="B324" s="66">
        <f>SUBTOTAL(103,$A$22:A324)</f>
        <v>288</v>
      </c>
      <c r="C324" s="24" t="s">
        <v>238</v>
      </c>
      <c r="D324" s="31">
        <f t="shared" si="46"/>
        <v>2567368.66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3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449.8</v>
      </c>
      <c r="R324" s="31">
        <f>1694742.15+749592.83</f>
        <v>2444334.98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f>ROUND(R324*1.5%,2)</f>
        <v>36665.019999999997</v>
      </c>
      <c r="AD324" s="31">
        <v>86368.66</v>
      </c>
      <c r="AE324" s="31">
        <v>0</v>
      </c>
      <c r="AF324" s="34">
        <v>2020</v>
      </c>
      <c r="AG324" s="34">
        <v>2020</v>
      </c>
      <c r="AH324" s="35">
        <v>2020</v>
      </c>
      <c r="AT324" s="20" t="e">
        <f t="shared" si="45"/>
        <v>#N/A</v>
      </c>
      <c r="BZ324" s="71"/>
      <c r="CD324" s="20" t="e">
        <f t="shared" si="34"/>
        <v>#N/A</v>
      </c>
    </row>
    <row r="325" spans="1:82" ht="61.5" x14ac:dyDescent="0.85">
      <c r="A325" s="20">
        <v>1</v>
      </c>
      <c r="B325" s="66">
        <f>SUBTOTAL(103,$A$22:A325)</f>
        <v>289</v>
      </c>
      <c r="C325" s="24" t="s">
        <v>241</v>
      </c>
      <c r="D325" s="31">
        <f t="shared" si="46"/>
        <v>2325723.11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3">
        <v>0</v>
      </c>
      <c r="L325" s="31">
        <v>0</v>
      </c>
      <c r="M325" s="31">
        <v>464.3</v>
      </c>
      <c r="N325" s="31">
        <v>2214709.36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f>ROUND(N325*1.5%,2)</f>
        <v>33220.639999999999</v>
      </c>
      <c r="AD325" s="31">
        <v>77793.11</v>
      </c>
      <c r="AE325" s="31">
        <v>0</v>
      </c>
      <c r="AF325" s="34">
        <v>2020</v>
      </c>
      <c r="AG325" s="34">
        <v>2020</v>
      </c>
      <c r="AH325" s="35">
        <v>2020</v>
      </c>
      <c r="AT325" s="20" t="e">
        <f t="shared" si="45"/>
        <v>#N/A</v>
      </c>
      <c r="BZ325" s="71"/>
      <c r="CD325" s="20" t="e">
        <f t="shared" si="34"/>
        <v>#N/A</v>
      </c>
    </row>
    <row r="326" spans="1:82" ht="61.5" x14ac:dyDescent="0.85">
      <c r="A326" s="20">
        <v>1</v>
      </c>
      <c r="B326" s="66">
        <f>SUBTOTAL(103,$A$22:A326)</f>
        <v>290</v>
      </c>
      <c r="C326" s="24" t="s">
        <v>242</v>
      </c>
      <c r="D326" s="31">
        <f t="shared" si="46"/>
        <v>1317002.8400000001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3">
        <v>0</v>
      </c>
      <c r="L326" s="31">
        <v>0</v>
      </c>
      <c r="M326" s="31">
        <v>271</v>
      </c>
      <c r="N326" s="31">
        <v>1243448.28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f>ROUND(N326*1.5%,2)</f>
        <v>18651.72</v>
      </c>
      <c r="AD326" s="31">
        <v>54902.84</v>
      </c>
      <c r="AE326" s="31">
        <v>0</v>
      </c>
      <c r="AF326" s="34">
        <v>2020</v>
      </c>
      <c r="AG326" s="34">
        <v>2020</v>
      </c>
      <c r="AH326" s="35">
        <v>2020</v>
      </c>
      <c r="AT326" s="20" t="e">
        <f t="shared" si="45"/>
        <v>#N/A</v>
      </c>
      <c r="BZ326" s="71"/>
      <c r="CD326" s="20" t="e">
        <f t="shared" si="34"/>
        <v>#N/A</v>
      </c>
    </row>
    <row r="327" spans="1:82" ht="61.5" x14ac:dyDescent="0.85">
      <c r="A327" s="20">
        <v>1</v>
      </c>
      <c r="B327" s="66">
        <f>SUBTOTAL(103,$A$22:A327)</f>
        <v>291</v>
      </c>
      <c r="C327" s="24" t="s">
        <v>237</v>
      </c>
      <c r="D327" s="31">
        <f t="shared" si="46"/>
        <v>1004301.26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3">
        <v>0</v>
      </c>
      <c r="L327" s="31">
        <v>0</v>
      </c>
      <c r="M327" s="31">
        <v>209.18</v>
      </c>
      <c r="N327" s="31">
        <v>932825.62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f>ROUND(N327*1.5%,2)</f>
        <v>13992.38</v>
      </c>
      <c r="AD327" s="31">
        <v>57483.26</v>
      </c>
      <c r="AE327" s="31">
        <v>0</v>
      </c>
      <c r="AF327" s="34">
        <v>2020</v>
      </c>
      <c r="AG327" s="34">
        <v>2020</v>
      </c>
      <c r="AH327" s="35">
        <v>2020</v>
      </c>
      <c r="AT327" s="20" t="e">
        <f t="shared" si="45"/>
        <v>#N/A</v>
      </c>
      <c r="BZ327" s="71"/>
      <c r="CD327" s="20" t="e">
        <f t="shared" si="34"/>
        <v>#N/A</v>
      </c>
    </row>
    <row r="328" spans="1:82" ht="61.5" x14ac:dyDescent="0.85">
      <c r="A328" s="20">
        <v>1</v>
      </c>
      <c r="B328" s="66">
        <f>SUBTOTAL(103,$A$22:A328)</f>
        <v>292</v>
      </c>
      <c r="C328" s="24" t="s">
        <v>244</v>
      </c>
      <c r="D328" s="31">
        <f t="shared" si="46"/>
        <v>2694274.4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3">
        <v>0</v>
      </c>
      <c r="L328" s="31">
        <v>0</v>
      </c>
      <c r="M328" s="31">
        <v>539.4</v>
      </c>
      <c r="N328" s="31">
        <v>2562502.46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f>ROUND(N328*1.5%,2)</f>
        <v>38437.54</v>
      </c>
      <c r="AD328" s="31">
        <v>93334.399999999994</v>
      </c>
      <c r="AE328" s="31">
        <v>0</v>
      </c>
      <c r="AF328" s="34">
        <v>2020</v>
      </c>
      <c r="AG328" s="34">
        <v>2020</v>
      </c>
      <c r="AH328" s="35">
        <v>2020</v>
      </c>
      <c r="AT328" s="20" t="e">
        <f t="shared" si="45"/>
        <v>#N/A</v>
      </c>
      <c r="BZ328" s="71"/>
      <c r="CD328" s="20" t="e">
        <f t="shared" si="34"/>
        <v>#N/A</v>
      </c>
    </row>
    <row r="329" spans="1:82" ht="61.5" x14ac:dyDescent="0.85">
      <c r="A329" s="20">
        <v>1</v>
      </c>
      <c r="B329" s="66">
        <f>SUBTOTAL(103,$A$22:A329)</f>
        <v>293</v>
      </c>
      <c r="C329" s="24" t="s">
        <v>1239</v>
      </c>
      <c r="D329" s="31">
        <f t="shared" si="46"/>
        <v>2857556.7199999997</v>
      </c>
      <c r="E329" s="38">
        <v>0</v>
      </c>
      <c r="F329" s="38">
        <v>0</v>
      </c>
      <c r="G329" s="31">
        <v>0</v>
      </c>
      <c r="H329" s="38">
        <v>0</v>
      </c>
      <c r="I329" s="38">
        <v>0</v>
      </c>
      <c r="J329" s="38">
        <v>0</v>
      </c>
      <c r="K329" s="33">
        <v>0</v>
      </c>
      <c r="L329" s="31">
        <v>0</v>
      </c>
      <c r="M329" s="31">
        <v>0</v>
      </c>
      <c r="N329" s="31">
        <v>0</v>
      </c>
      <c r="O329" s="38">
        <v>0</v>
      </c>
      <c r="P329" s="38">
        <v>0</v>
      </c>
      <c r="Q329" s="31">
        <v>677.5</v>
      </c>
      <c r="R329" s="31">
        <v>2815326.82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f>ROUND(R329*1.5%,2)</f>
        <v>42229.9</v>
      </c>
      <c r="AD329" s="31">
        <v>0</v>
      </c>
      <c r="AE329" s="31">
        <v>0</v>
      </c>
      <c r="AF329" s="34" t="s">
        <v>274</v>
      </c>
      <c r="AG329" s="34">
        <v>2020</v>
      </c>
      <c r="AH329" s="35">
        <v>2020</v>
      </c>
      <c r="BZ329" s="71"/>
      <c r="CD329" s="20" t="e">
        <f t="shared" si="34"/>
        <v>#N/A</v>
      </c>
    </row>
    <row r="330" spans="1:82" ht="61.5" x14ac:dyDescent="0.85">
      <c r="A330" s="20">
        <v>1</v>
      </c>
      <c r="B330" s="66">
        <f>SUBTOTAL(103,$A$22:A330)</f>
        <v>294</v>
      </c>
      <c r="C330" s="24" t="s">
        <v>1240</v>
      </c>
      <c r="D330" s="31">
        <f t="shared" si="46"/>
        <v>3331286.34</v>
      </c>
      <c r="E330" s="38">
        <v>315048.13</v>
      </c>
      <c r="F330" s="38">
        <v>0</v>
      </c>
      <c r="G330" s="31">
        <v>0</v>
      </c>
      <c r="H330" s="38">
        <v>550227.06000000006</v>
      </c>
      <c r="I330" s="38">
        <v>2416780.3199999998</v>
      </c>
      <c r="J330" s="38">
        <v>0</v>
      </c>
      <c r="K330" s="33">
        <v>0</v>
      </c>
      <c r="L330" s="31">
        <v>0</v>
      </c>
      <c r="M330" s="31">
        <v>0</v>
      </c>
      <c r="N330" s="31">
        <v>0</v>
      </c>
      <c r="O330" s="38">
        <v>0</v>
      </c>
      <c r="P330" s="38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f>ROUND((E330+F330+G330+H330+I330+J330)*1.5%,2)</f>
        <v>49230.83</v>
      </c>
      <c r="AD330" s="31">
        <v>0</v>
      </c>
      <c r="AE330" s="31">
        <v>0</v>
      </c>
      <c r="AF330" s="34" t="s">
        <v>274</v>
      </c>
      <c r="AG330" s="34">
        <v>2020</v>
      </c>
      <c r="AH330" s="35">
        <v>2020</v>
      </c>
      <c r="BZ330" s="71"/>
      <c r="CD330" s="20" t="e">
        <f t="shared" si="34"/>
        <v>#N/A</v>
      </c>
    </row>
    <row r="331" spans="1:82" ht="61.5" x14ac:dyDescent="0.85">
      <c r="A331" s="20">
        <v>1</v>
      </c>
      <c r="B331" s="66">
        <f>SUBTOTAL(103,$A$22:A331)</f>
        <v>295</v>
      </c>
      <c r="C331" s="24" t="s">
        <v>1241</v>
      </c>
      <c r="D331" s="31">
        <f t="shared" si="46"/>
        <v>3210077.19</v>
      </c>
      <c r="E331" s="38">
        <v>0</v>
      </c>
      <c r="F331" s="38">
        <v>0</v>
      </c>
      <c r="G331" s="31">
        <v>0</v>
      </c>
      <c r="H331" s="38">
        <v>0</v>
      </c>
      <c r="I331" s="38">
        <v>0</v>
      </c>
      <c r="J331" s="38">
        <v>0</v>
      </c>
      <c r="K331" s="33">
        <v>0</v>
      </c>
      <c r="L331" s="31">
        <v>0</v>
      </c>
      <c r="M331" s="31">
        <v>0</v>
      </c>
      <c r="N331" s="31">
        <v>0</v>
      </c>
      <c r="O331" s="38">
        <v>0</v>
      </c>
      <c r="P331" s="38">
        <v>0</v>
      </c>
      <c r="Q331" s="31">
        <v>766.41</v>
      </c>
      <c r="R331" s="31">
        <v>3162637.63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f>ROUND(R331*1.5%,2)</f>
        <v>47439.56</v>
      </c>
      <c r="AD331" s="31">
        <v>0</v>
      </c>
      <c r="AE331" s="31">
        <v>0</v>
      </c>
      <c r="AF331" s="34" t="s">
        <v>274</v>
      </c>
      <c r="AG331" s="34">
        <v>2020</v>
      </c>
      <c r="AH331" s="35">
        <v>2020</v>
      </c>
      <c r="BZ331" s="71"/>
      <c r="CD331" s="20" t="e">
        <f t="shared" si="34"/>
        <v>#N/A</v>
      </c>
    </row>
    <row r="332" spans="1:82" ht="61.5" x14ac:dyDescent="0.85">
      <c r="A332" s="20">
        <v>1</v>
      </c>
      <c r="B332" s="66">
        <f>SUBTOTAL(103,$A$22:A332)</f>
        <v>296</v>
      </c>
      <c r="C332" s="24" t="s">
        <v>1243</v>
      </c>
      <c r="D332" s="31">
        <f t="shared" si="46"/>
        <v>1811384.8699999999</v>
      </c>
      <c r="E332" s="38">
        <v>0</v>
      </c>
      <c r="F332" s="38">
        <v>0</v>
      </c>
      <c r="G332" s="31">
        <v>0</v>
      </c>
      <c r="H332" s="38">
        <v>0</v>
      </c>
      <c r="I332" s="38">
        <v>0</v>
      </c>
      <c r="J332" s="38">
        <v>0</v>
      </c>
      <c r="K332" s="33">
        <v>0</v>
      </c>
      <c r="L332" s="31">
        <v>0</v>
      </c>
      <c r="M332" s="31">
        <v>0</v>
      </c>
      <c r="N332" s="31">
        <v>0</v>
      </c>
      <c r="O332" s="38">
        <v>0</v>
      </c>
      <c r="P332" s="38">
        <v>0</v>
      </c>
      <c r="Q332" s="31">
        <v>0</v>
      </c>
      <c r="R332" s="31">
        <v>0</v>
      </c>
      <c r="S332" s="31">
        <v>84.3</v>
      </c>
      <c r="T332" s="31">
        <v>1784615.64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f>ROUND(T332*1.5%,2)</f>
        <v>26769.23</v>
      </c>
      <c r="AD332" s="31">
        <v>0</v>
      </c>
      <c r="AE332" s="31">
        <v>0</v>
      </c>
      <c r="AF332" s="34" t="s">
        <v>274</v>
      </c>
      <c r="AG332" s="34">
        <v>2020</v>
      </c>
      <c r="AH332" s="35">
        <v>2020</v>
      </c>
      <c r="BZ332" s="71"/>
      <c r="CD332" s="20" t="e">
        <f t="shared" si="34"/>
        <v>#N/A</v>
      </c>
    </row>
    <row r="333" spans="1:82" ht="61.5" x14ac:dyDescent="0.85">
      <c r="A333" s="20">
        <v>1</v>
      </c>
      <c r="B333" s="66">
        <f>SUBTOTAL(103,$A$22:A333)</f>
        <v>297</v>
      </c>
      <c r="C333" s="24" t="s">
        <v>1244</v>
      </c>
      <c r="D333" s="31">
        <f t="shared" si="46"/>
        <v>1787601.6700000002</v>
      </c>
      <c r="E333" s="38">
        <v>0</v>
      </c>
      <c r="F333" s="38">
        <v>0</v>
      </c>
      <c r="G333" s="31">
        <v>0</v>
      </c>
      <c r="H333" s="38">
        <v>0</v>
      </c>
      <c r="I333" s="38">
        <v>0</v>
      </c>
      <c r="J333" s="38">
        <v>0</v>
      </c>
      <c r="K333" s="33">
        <v>0</v>
      </c>
      <c r="L333" s="31">
        <v>0</v>
      </c>
      <c r="M333" s="31">
        <v>374.3</v>
      </c>
      <c r="N333" s="31">
        <v>1642957.31</v>
      </c>
      <c r="O333" s="38">
        <v>0</v>
      </c>
      <c r="P333" s="38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f>ROUND(N333*1.5%,2)</f>
        <v>24644.36</v>
      </c>
      <c r="AD333" s="31">
        <v>0</v>
      </c>
      <c r="AE333" s="31">
        <v>120000</v>
      </c>
      <c r="AF333" s="34" t="s">
        <v>274</v>
      </c>
      <c r="AG333" s="34">
        <v>2020</v>
      </c>
      <c r="AH333" s="35">
        <v>2020</v>
      </c>
      <c r="BZ333" s="71"/>
      <c r="CD333" s="20">
        <f t="shared" si="34"/>
        <v>374.3</v>
      </c>
    </row>
    <row r="334" spans="1:82" ht="61.5" x14ac:dyDescent="0.85">
      <c r="A334" s="20">
        <v>1</v>
      </c>
      <c r="B334" s="66">
        <f>SUBTOTAL(103,$A$22:A334)</f>
        <v>298</v>
      </c>
      <c r="C334" s="24" t="s">
        <v>1577</v>
      </c>
      <c r="D334" s="31">
        <f t="shared" si="46"/>
        <v>1422703.04</v>
      </c>
      <c r="E334" s="38">
        <v>0</v>
      </c>
      <c r="F334" s="38">
        <v>0</v>
      </c>
      <c r="G334" s="31">
        <v>0</v>
      </c>
      <c r="H334" s="38">
        <v>0</v>
      </c>
      <c r="I334" s="38">
        <v>0</v>
      </c>
      <c r="J334" s="38">
        <v>0</v>
      </c>
      <c r="K334" s="33">
        <v>0</v>
      </c>
      <c r="L334" s="31">
        <v>0</v>
      </c>
      <c r="M334" s="31">
        <v>327.87</v>
      </c>
      <c r="N334" s="31">
        <v>1401677.87</v>
      </c>
      <c r="O334" s="38">
        <v>0</v>
      </c>
      <c r="P334" s="38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f>ROUND(N334*1.5%,2)</f>
        <v>21025.17</v>
      </c>
      <c r="AD334" s="31">
        <v>0</v>
      </c>
      <c r="AE334" s="31">
        <v>0</v>
      </c>
      <c r="AF334" s="34" t="s">
        <v>274</v>
      </c>
      <c r="AG334" s="34">
        <v>2020</v>
      </c>
      <c r="AH334" s="35">
        <v>2020</v>
      </c>
      <c r="BZ334" s="71"/>
      <c r="CD334" s="20">
        <f t="shared" si="34"/>
        <v>329.1</v>
      </c>
    </row>
    <row r="335" spans="1:82" ht="61.5" x14ac:dyDescent="0.85">
      <c r="A335" s="20">
        <v>1</v>
      </c>
      <c r="B335" s="66">
        <f>SUBTOTAL(103,$A$22:A335)</f>
        <v>299</v>
      </c>
      <c r="C335" s="24" t="s">
        <v>1578</v>
      </c>
      <c r="D335" s="31">
        <f t="shared" si="46"/>
        <v>2288459.5900000003</v>
      </c>
      <c r="E335" s="38">
        <v>0</v>
      </c>
      <c r="F335" s="38">
        <v>0</v>
      </c>
      <c r="G335" s="31">
        <v>0</v>
      </c>
      <c r="H335" s="38">
        <v>0</v>
      </c>
      <c r="I335" s="38">
        <v>0</v>
      </c>
      <c r="J335" s="38">
        <v>0</v>
      </c>
      <c r="K335" s="33">
        <v>0</v>
      </c>
      <c r="L335" s="31">
        <v>0</v>
      </c>
      <c r="M335" s="31">
        <v>611</v>
      </c>
      <c r="N335" s="31">
        <v>2254639.9900000002</v>
      </c>
      <c r="O335" s="38">
        <v>0</v>
      </c>
      <c r="P335" s="38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f>ROUND(N335*1.5%,2)</f>
        <v>33819.599999999999</v>
      </c>
      <c r="AD335" s="31">
        <v>0</v>
      </c>
      <c r="AE335" s="31">
        <v>0</v>
      </c>
      <c r="AF335" s="34" t="s">
        <v>274</v>
      </c>
      <c r="AG335" s="34">
        <v>2020</v>
      </c>
      <c r="AH335" s="35">
        <v>2020</v>
      </c>
      <c r="BZ335" s="71"/>
      <c r="CD335" s="20">
        <f t="shared" si="34"/>
        <v>611</v>
      </c>
    </row>
    <row r="336" spans="1:82" ht="61.5" x14ac:dyDescent="0.85">
      <c r="A336" s="20">
        <v>1</v>
      </c>
      <c r="B336" s="66">
        <f>SUBTOTAL(103,$A$22:A336)</f>
        <v>300</v>
      </c>
      <c r="C336" s="24" t="s">
        <v>1592</v>
      </c>
      <c r="D336" s="31">
        <f t="shared" si="46"/>
        <v>2836351.9</v>
      </c>
      <c r="E336" s="38">
        <v>0</v>
      </c>
      <c r="F336" s="38">
        <v>0</v>
      </c>
      <c r="G336" s="31">
        <v>0</v>
      </c>
      <c r="H336" s="38">
        <v>0</v>
      </c>
      <c r="I336" s="38">
        <v>0</v>
      </c>
      <c r="J336" s="38">
        <v>0</v>
      </c>
      <c r="K336" s="33">
        <v>0</v>
      </c>
      <c r="L336" s="31">
        <v>0</v>
      </c>
      <c r="M336" s="31">
        <v>606</v>
      </c>
      <c r="N336" s="31">
        <v>2794435.37</v>
      </c>
      <c r="O336" s="38">
        <v>0</v>
      </c>
      <c r="P336" s="38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f>ROUND(N336*1.5%,2)</f>
        <v>41916.53</v>
      </c>
      <c r="AD336" s="31">
        <v>0</v>
      </c>
      <c r="AE336" s="31">
        <v>0</v>
      </c>
      <c r="AF336" s="34" t="s">
        <v>274</v>
      </c>
      <c r="AG336" s="34">
        <v>2020</v>
      </c>
      <c r="AH336" s="35">
        <v>2020</v>
      </c>
      <c r="BZ336" s="71"/>
      <c r="CD336" s="20">
        <f t="shared" si="34"/>
        <v>606</v>
      </c>
    </row>
    <row r="337" spans="1:82" ht="61.5" x14ac:dyDescent="0.85">
      <c r="A337" s="20">
        <v>1</v>
      </c>
      <c r="B337" s="66">
        <f>SUBTOTAL(103,$A$22:A337)</f>
        <v>301</v>
      </c>
      <c r="C337" s="24" t="s">
        <v>1593</v>
      </c>
      <c r="D337" s="31">
        <f t="shared" si="46"/>
        <v>2304536.62</v>
      </c>
      <c r="E337" s="38">
        <v>0</v>
      </c>
      <c r="F337" s="38">
        <v>0</v>
      </c>
      <c r="G337" s="31">
        <v>0</v>
      </c>
      <c r="H337" s="38">
        <v>0</v>
      </c>
      <c r="I337" s="38">
        <v>0</v>
      </c>
      <c r="J337" s="38">
        <v>0</v>
      </c>
      <c r="K337" s="33">
        <v>0</v>
      </c>
      <c r="L337" s="31">
        <v>0</v>
      </c>
      <c r="M337" s="31">
        <v>592.07000000000005</v>
      </c>
      <c r="N337" s="31">
        <v>2270479.4300000002</v>
      </c>
      <c r="O337" s="38">
        <v>0</v>
      </c>
      <c r="P337" s="38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f>ROUND(N337*1.5%,2)</f>
        <v>34057.19</v>
      </c>
      <c r="AD337" s="31">
        <v>0</v>
      </c>
      <c r="AE337" s="31">
        <v>0</v>
      </c>
      <c r="AF337" s="34" t="s">
        <v>274</v>
      </c>
      <c r="AG337" s="34">
        <v>2020</v>
      </c>
      <c r="AH337" s="35">
        <v>2020</v>
      </c>
      <c r="BZ337" s="71"/>
      <c r="CD337" s="20">
        <f t="shared" si="34"/>
        <v>592.07000000000005</v>
      </c>
    </row>
    <row r="338" spans="1:82" ht="61.5" x14ac:dyDescent="0.85">
      <c r="A338" s="20">
        <v>1</v>
      </c>
      <c r="B338" s="66">
        <f>SUBTOTAL(103,$A$22:A338)</f>
        <v>302</v>
      </c>
      <c r="C338" s="24" t="s">
        <v>1629</v>
      </c>
      <c r="D338" s="31">
        <f t="shared" si="46"/>
        <v>1456376.84</v>
      </c>
      <c r="E338" s="38">
        <v>0</v>
      </c>
      <c r="F338" s="38">
        <v>0</v>
      </c>
      <c r="G338" s="31">
        <v>0</v>
      </c>
      <c r="H338" s="38">
        <v>0</v>
      </c>
      <c r="I338" s="38">
        <v>0</v>
      </c>
      <c r="J338" s="38">
        <v>0</v>
      </c>
      <c r="K338" s="33">
        <v>0</v>
      </c>
      <c r="L338" s="31">
        <v>0</v>
      </c>
      <c r="M338" s="31">
        <v>0</v>
      </c>
      <c r="N338" s="31">
        <v>0</v>
      </c>
      <c r="O338" s="38">
        <v>0</v>
      </c>
      <c r="P338" s="38">
        <v>0</v>
      </c>
      <c r="Q338" s="31">
        <v>377.9</v>
      </c>
      <c r="R338" s="31">
        <v>1394850.4500000002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f>ROUND(R338*1.5%,2)</f>
        <v>20922.759999999998</v>
      </c>
      <c r="AD338" s="31">
        <v>40603.629999999997</v>
      </c>
      <c r="AE338" s="31">
        <v>0</v>
      </c>
      <c r="AF338" s="34">
        <v>2020</v>
      </c>
      <c r="AG338" s="34">
        <v>2020</v>
      </c>
      <c r="AH338" s="35">
        <v>2020</v>
      </c>
      <c r="BZ338" s="71"/>
      <c r="CD338" s="20" t="e">
        <f t="shared" si="34"/>
        <v>#N/A</v>
      </c>
    </row>
    <row r="339" spans="1:82" ht="61.5" x14ac:dyDescent="0.85">
      <c r="B339" s="24" t="s">
        <v>850</v>
      </c>
      <c r="C339" s="24"/>
      <c r="D339" s="31">
        <f t="shared" ref="D339:AE339" si="47">SUM(D340:D345)</f>
        <v>4191660.33</v>
      </c>
      <c r="E339" s="31">
        <f t="shared" si="47"/>
        <v>0</v>
      </c>
      <c r="F339" s="31">
        <f t="shared" si="47"/>
        <v>0</v>
      </c>
      <c r="G339" s="31">
        <f t="shared" si="47"/>
        <v>0</v>
      </c>
      <c r="H339" s="31">
        <f t="shared" si="47"/>
        <v>134182.18</v>
      </c>
      <c r="I339" s="31">
        <f t="shared" si="47"/>
        <v>0</v>
      </c>
      <c r="J339" s="31">
        <f t="shared" si="47"/>
        <v>0</v>
      </c>
      <c r="K339" s="33">
        <f t="shared" si="47"/>
        <v>0</v>
      </c>
      <c r="L339" s="31">
        <f t="shared" si="47"/>
        <v>0</v>
      </c>
      <c r="M339" s="31">
        <f t="shared" si="47"/>
        <v>568.76</v>
      </c>
      <c r="N339" s="31">
        <f t="shared" si="47"/>
        <v>2126707.66</v>
      </c>
      <c r="O339" s="31">
        <f t="shared" si="47"/>
        <v>0</v>
      </c>
      <c r="P339" s="31">
        <f t="shared" si="47"/>
        <v>0</v>
      </c>
      <c r="Q339" s="31">
        <f t="shared" si="47"/>
        <v>369.1</v>
      </c>
      <c r="R339" s="31">
        <f t="shared" si="47"/>
        <v>1359619.7</v>
      </c>
      <c r="S339" s="31">
        <f t="shared" si="47"/>
        <v>41.6</v>
      </c>
      <c r="T339" s="31">
        <f t="shared" si="47"/>
        <v>378146.57</v>
      </c>
      <c r="U339" s="31">
        <f t="shared" si="47"/>
        <v>0</v>
      </c>
      <c r="V339" s="31">
        <f t="shared" si="47"/>
        <v>0</v>
      </c>
      <c r="W339" s="31">
        <f t="shared" si="47"/>
        <v>0</v>
      </c>
      <c r="X339" s="31">
        <f t="shared" si="47"/>
        <v>0</v>
      </c>
      <c r="Y339" s="31">
        <f t="shared" si="47"/>
        <v>0</v>
      </c>
      <c r="Z339" s="31">
        <f t="shared" si="47"/>
        <v>0</v>
      </c>
      <c r="AA339" s="31">
        <f t="shared" si="47"/>
        <v>0</v>
      </c>
      <c r="AB339" s="31">
        <f t="shared" si="47"/>
        <v>0</v>
      </c>
      <c r="AC339" s="31">
        <f t="shared" si="47"/>
        <v>59979.839999999997</v>
      </c>
      <c r="AD339" s="31">
        <f t="shared" si="47"/>
        <v>133024.38</v>
      </c>
      <c r="AE339" s="31">
        <f t="shared" si="47"/>
        <v>0</v>
      </c>
      <c r="AF339" s="72" t="s">
        <v>776</v>
      </c>
      <c r="AG339" s="72" t="s">
        <v>776</v>
      </c>
      <c r="AH339" s="88" t="s">
        <v>776</v>
      </c>
      <c r="AT339" s="20" t="e">
        <f>VLOOKUP(C339,AW:AX,2,FALSE)</f>
        <v>#N/A</v>
      </c>
      <c r="BZ339" s="71">
        <v>4925031.5999999996</v>
      </c>
      <c r="CB339" s="71">
        <f>BZ339-D339</f>
        <v>733371.26999999955</v>
      </c>
      <c r="CD339" s="20" t="e">
        <f t="shared" si="34"/>
        <v>#N/A</v>
      </c>
    </row>
    <row r="340" spans="1:82" ht="61.5" x14ac:dyDescent="0.85">
      <c r="A340" s="20">
        <v>1</v>
      </c>
      <c r="B340" s="66">
        <f>SUBTOTAL(103,$A$22:A340)</f>
        <v>303</v>
      </c>
      <c r="C340" s="24" t="s">
        <v>251</v>
      </c>
      <c r="D340" s="31">
        <f t="shared" ref="D340:D345" si="48">E340+F340+G340+H340+I340+J340+L340+N340+P340+R340+T340+U340+V340+W340+X340+Y340+Z340+AA340+AB340+AC340+AD340+AE340</f>
        <v>40774.61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3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f>ROUND((E340+F340+G340+H340+I340+J340)*1.5%,2)</f>
        <v>0</v>
      </c>
      <c r="AD340" s="31">
        <v>40774.61</v>
      </c>
      <c r="AE340" s="31">
        <v>0</v>
      </c>
      <c r="AF340" s="34">
        <v>2020</v>
      </c>
      <c r="AG340" s="34" t="s">
        <v>274</v>
      </c>
      <c r="AH340" s="35" t="s">
        <v>274</v>
      </c>
      <c r="AT340" s="20" t="e">
        <f>VLOOKUP(C340,AW:AX,2,FALSE)</f>
        <v>#N/A</v>
      </c>
      <c r="BZ340" s="71"/>
      <c r="CD340" s="20" t="e">
        <f t="shared" si="34"/>
        <v>#N/A</v>
      </c>
    </row>
    <row r="341" spans="1:82" ht="61.5" x14ac:dyDescent="0.85">
      <c r="A341" s="20">
        <v>1</v>
      </c>
      <c r="B341" s="66">
        <f>SUBTOTAL(103,$A$22:A341)</f>
        <v>304</v>
      </c>
      <c r="C341" s="24" t="s">
        <v>252</v>
      </c>
      <c r="D341" s="31">
        <f t="shared" si="48"/>
        <v>167945.43</v>
      </c>
      <c r="E341" s="31">
        <v>0</v>
      </c>
      <c r="F341" s="31">
        <v>0</v>
      </c>
      <c r="G341" s="31">
        <v>0</v>
      </c>
      <c r="H341" s="31">
        <v>134182.18</v>
      </c>
      <c r="I341" s="31">
        <v>0</v>
      </c>
      <c r="J341" s="31">
        <v>0</v>
      </c>
      <c r="K341" s="33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f>ROUND((E341+F341+G341+H341+I341+J341)*1.5%,2)</f>
        <v>2012.73</v>
      </c>
      <c r="AD341" s="31">
        <v>31750.52</v>
      </c>
      <c r="AE341" s="31">
        <v>0</v>
      </c>
      <c r="AF341" s="34">
        <v>2020</v>
      </c>
      <c r="AG341" s="34">
        <v>2020</v>
      </c>
      <c r="AH341" s="35">
        <v>2020</v>
      </c>
      <c r="AT341" s="20" t="e">
        <f>VLOOKUP(C341,AW:AX,2,FALSE)</f>
        <v>#N/A</v>
      </c>
      <c r="BZ341" s="71"/>
      <c r="CD341" s="20" t="e">
        <f t="shared" si="34"/>
        <v>#N/A</v>
      </c>
    </row>
    <row r="342" spans="1:82" ht="61.5" x14ac:dyDescent="0.85">
      <c r="A342" s="20">
        <v>1</v>
      </c>
      <c r="B342" s="66">
        <f>SUBTOTAL(103,$A$22:A342)</f>
        <v>305</v>
      </c>
      <c r="C342" s="24" t="s">
        <v>1247</v>
      </c>
      <c r="D342" s="31">
        <f t="shared" si="48"/>
        <v>383818.77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3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41.6</v>
      </c>
      <c r="T342" s="31">
        <v>378146.57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f>ROUND(T342*1.5%,2)</f>
        <v>5672.2</v>
      </c>
      <c r="AD342" s="31">
        <v>0</v>
      </c>
      <c r="AE342" s="31">
        <v>0</v>
      </c>
      <c r="AF342" s="34" t="s">
        <v>274</v>
      </c>
      <c r="AG342" s="34">
        <v>2020</v>
      </c>
      <c r="AH342" s="35">
        <v>2020</v>
      </c>
      <c r="BZ342" s="71"/>
      <c r="CD342" s="20" t="e">
        <f t="shared" ref="CD342:CD405" si="49">VLOOKUP(C342,CE:CF,2,FALSE)</f>
        <v>#N/A</v>
      </c>
    </row>
    <row r="343" spans="1:82" ht="61.5" x14ac:dyDescent="0.85">
      <c r="A343" s="20">
        <v>1</v>
      </c>
      <c r="B343" s="66">
        <f>SUBTOTAL(103,$A$22:A343)</f>
        <v>306</v>
      </c>
      <c r="C343" s="24" t="s">
        <v>249</v>
      </c>
      <c r="D343" s="31">
        <f t="shared" si="48"/>
        <v>1440513.25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3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369.1</v>
      </c>
      <c r="R343" s="31">
        <v>1359619.7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f>ROUND(R343*1.5%,2)</f>
        <v>20394.3</v>
      </c>
      <c r="AD343" s="183">
        <v>60499.25</v>
      </c>
      <c r="AE343" s="31">
        <v>0</v>
      </c>
      <c r="AF343" s="34">
        <v>2020</v>
      </c>
      <c r="AG343" s="34">
        <v>2020</v>
      </c>
      <c r="AH343" s="35">
        <v>2020</v>
      </c>
      <c r="AT343" s="20" t="e">
        <f>VLOOKUP(C343,AW:AX,2,FALSE)</f>
        <v>#N/A</v>
      </c>
      <c r="BZ343" s="71"/>
      <c r="CD343" s="20" t="e">
        <f t="shared" si="49"/>
        <v>#N/A</v>
      </c>
    </row>
    <row r="344" spans="1:82" ht="61.5" x14ac:dyDescent="0.85">
      <c r="A344" s="20">
        <v>1</v>
      </c>
      <c r="B344" s="66">
        <f>SUBTOTAL(103,$A$22:A344)</f>
        <v>307</v>
      </c>
      <c r="C344" s="24" t="s">
        <v>1579</v>
      </c>
      <c r="D344" s="31">
        <f t="shared" si="48"/>
        <v>944609.1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3">
        <v>0</v>
      </c>
      <c r="L344" s="31">
        <v>0</v>
      </c>
      <c r="M344" s="31">
        <v>259.76</v>
      </c>
      <c r="N344" s="31">
        <v>930649.36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f>ROUND(N344*1.5%,2)</f>
        <v>13959.74</v>
      </c>
      <c r="AD344" s="31">
        <v>0</v>
      </c>
      <c r="AE344" s="31">
        <v>0</v>
      </c>
      <c r="AF344" s="34" t="s">
        <v>274</v>
      </c>
      <c r="AG344" s="34">
        <v>2020</v>
      </c>
      <c r="AH344" s="35">
        <v>2020</v>
      </c>
      <c r="BZ344" s="71"/>
      <c r="CD344" s="20">
        <f t="shared" si="49"/>
        <v>249</v>
      </c>
    </row>
    <row r="345" spans="1:82" ht="61.5" x14ac:dyDescent="0.85">
      <c r="A345" s="20">
        <v>1</v>
      </c>
      <c r="B345" s="66">
        <f>SUBTOTAL(103,$A$22:A345)</f>
        <v>308</v>
      </c>
      <c r="C345" s="24" t="s">
        <v>1580</v>
      </c>
      <c r="D345" s="31">
        <f t="shared" si="48"/>
        <v>1213999.1700000002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3">
        <v>0</v>
      </c>
      <c r="L345" s="31">
        <v>0</v>
      </c>
      <c r="M345" s="31">
        <v>309</v>
      </c>
      <c r="N345" s="31">
        <v>1196058.3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f>ROUND(N345*1.5%,2)</f>
        <v>17940.87</v>
      </c>
      <c r="AD345" s="31">
        <v>0</v>
      </c>
      <c r="AE345" s="31">
        <v>0</v>
      </c>
      <c r="AF345" s="34" t="s">
        <v>274</v>
      </c>
      <c r="AG345" s="34">
        <v>2020</v>
      </c>
      <c r="AH345" s="35">
        <v>2020</v>
      </c>
      <c r="BZ345" s="71"/>
      <c r="CD345" s="20">
        <f t="shared" si="49"/>
        <v>309</v>
      </c>
    </row>
    <row r="346" spans="1:82" ht="61.5" x14ac:dyDescent="0.85">
      <c r="B346" s="24" t="s">
        <v>851</v>
      </c>
      <c r="C346" s="24"/>
      <c r="D346" s="31">
        <f>SUM(D347:D349)</f>
        <v>5532352.54</v>
      </c>
      <c r="E346" s="31">
        <f t="shared" ref="E346:AE346" si="50">SUM(E347:E349)</f>
        <v>0</v>
      </c>
      <c r="F346" s="31">
        <f t="shared" si="50"/>
        <v>0</v>
      </c>
      <c r="G346" s="31">
        <f t="shared" si="50"/>
        <v>0</v>
      </c>
      <c r="H346" s="31">
        <f t="shared" si="50"/>
        <v>0</v>
      </c>
      <c r="I346" s="31">
        <f t="shared" si="50"/>
        <v>0</v>
      </c>
      <c r="J346" s="31">
        <f t="shared" si="50"/>
        <v>0</v>
      </c>
      <c r="K346" s="33">
        <f t="shared" si="50"/>
        <v>0</v>
      </c>
      <c r="L346" s="31">
        <f t="shared" si="50"/>
        <v>0</v>
      </c>
      <c r="M346" s="31">
        <f t="shared" si="50"/>
        <v>0</v>
      </c>
      <c r="N346" s="31">
        <f t="shared" si="50"/>
        <v>0</v>
      </c>
      <c r="O346" s="31">
        <f t="shared" si="50"/>
        <v>0</v>
      </c>
      <c r="P346" s="31">
        <f t="shared" si="50"/>
        <v>0</v>
      </c>
      <c r="Q346" s="31">
        <f t="shared" si="50"/>
        <v>1645.74</v>
      </c>
      <c r="R346" s="31">
        <f t="shared" si="50"/>
        <v>5322514.8199999994</v>
      </c>
      <c r="S346" s="31">
        <f t="shared" si="50"/>
        <v>0</v>
      </c>
      <c r="T346" s="31">
        <f t="shared" si="50"/>
        <v>0</v>
      </c>
      <c r="U346" s="31">
        <f t="shared" si="50"/>
        <v>0</v>
      </c>
      <c r="V346" s="31">
        <f t="shared" si="50"/>
        <v>0</v>
      </c>
      <c r="W346" s="31">
        <f t="shared" si="50"/>
        <v>0</v>
      </c>
      <c r="X346" s="31">
        <f t="shared" si="50"/>
        <v>0</v>
      </c>
      <c r="Y346" s="31">
        <f t="shared" si="50"/>
        <v>0</v>
      </c>
      <c r="Z346" s="31">
        <f t="shared" si="50"/>
        <v>0</v>
      </c>
      <c r="AA346" s="31">
        <f t="shared" si="50"/>
        <v>0</v>
      </c>
      <c r="AB346" s="31">
        <f t="shared" si="50"/>
        <v>0</v>
      </c>
      <c r="AC346" s="31">
        <f t="shared" si="50"/>
        <v>79837.72</v>
      </c>
      <c r="AD346" s="31">
        <f t="shared" si="50"/>
        <v>130000</v>
      </c>
      <c r="AE346" s="31">
        <f t="shared" si="50"/>
        <v>0</v>
      </c>
      <c r="AF346" s="72" t="s">
        <v>776</v>
      </c>
      <c r="AG346" s="72" t="s">
        <v>776</v>
      </c>
      <c r="AH346" s="88" t="s">
        <v>776</v>
      </c>
      <c r="AT346" s="20" t="e">
        <f>VLOOKUP(C346,AW:AX,2,FALSE)</f>
        <v>#N/A</v>
      </c>
      <c r="BZ346" s="71">
        <v>5532352.54</v>
      </c>
      <c r="CB346" s="71">
        <f>BZ346-D346</f>
        <v>0</v>
      </c>
      <c r="CD346" s="20" t="e">
        <f t="shared" si="49"/>
        <v>#N/A</v>
      </c>
    </row>
    <row r="347" spans="1:82" ht="61.5" x14ac:dyDescent="0.85">
      <c r="A347" s="20">
        <v>1</v>
      </c>
      <c r="B347" s="66">
        <f>SUBTOTAL(103,$A$22:A347)</f>
        <v>309</v>
      </c>
      <c r="C347" s="24" t="s">
        <v>246</v>
      </c>
      <c r="D347" s="31">
        <f>E347+F347+G347+H347+I347+J347+L347+N347+P347+R347+T347+U347+V347+W347+X347+Y347+Z347+AA347+AB347+AC347+AD347+AE347</f>
        <v>1765119.99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3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490.6</v>
      </c>
      <c r="R347" s="31">
        <v>1610955.66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f>ROUND(R347*1.5%,2)</f>
        <v>24164.33</v>
      </c>
      <c r="AD347" s="31">
        <v>130000</v>
      </c>
      <c r="AE347" s="31">
        <v>0</v>
      </c>
      <c r="AF347" s="34">
        <v>2020</v>
      </c>
      <c r="AG347" s="34">
        <v>2020</v>
      </c>
      <c r="AH347" s="35">
        <v>2020</v>
      </c>
      <c r="AT347" s="20" t="e">
        <f>VLOOKUP(C347,AW:AX,2,FALSE)</f>
        <v>#N/A</v>
      </c>
      <c r="BZ347" s="71"/>
      <c r="CD347" s="20" t="e">
        <f t="shared" si="49"/>
        <v>#N/A</v>
      </c>
    </row>
    <row r="348" spans="1:82" ht="61.5" x14ac:dyDescent="0.85">
      <c r="A348" s="20">
        <v>1</v>
      </c>
      <c r="B348" s="66">
        <f>SUBTOTAL(103,$A$22:A348)</f>
        <v>310</v>
      </c>
      <c r="C348" s="24" t="s">
        <v>1245</v>
      </c>
      <c r="D348" s="31">
        <f>E348+F348+G348+H348+I348+J348+L348+N348+P348+R348+T348+U348+V348+W348+X348+Y348+Z348+AA348+AB348+AC348+AD348+AE348</f>
        <v>2476874.58</v>
      </c>
      <c r="E348" s="38">
        <v>0</v>
      </c>
      <c r="F348" s="38">
        <v>0</v>
      </c>
      <c r="G348" s="31">
        <v>0</v>
      </c>
      <c r="H348" s="38">
        <v>0</v>
      </c>
      <c r="I348" s="38">
        <v>0</v>
      </c>
      <c r="J348" s="38">
        <v>0</v>
      </c>
      <c r="K348" s="33">
        <v>0</v>
      </c>
      <c r="L348" s="31">
        <v>0</v>
      </c>
      <c r="M348" s="31">
        <v>0</v>
      </c>
      <c r="N348" s="31">
        <v>0</v>
      </c>
      <c r="O348" s="38">
        <v>0</v>
      </c>
      <c r="P348" s="38">
        <v>0</v>
      </c>
      <c r="Q348" s="31">
        <v>658.14</v>
      </c>
      <c r="R348" s="31">
        <v>2440270.52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f>ROUND(R348*1.5%,2)</f>
        <v>36604.06</v>
      </c>
      <c r="AD348" s="31">
        <v>0</v>
      </c>
      <c r="AE348" s="31">
        <v>0</v>
      </c>
      <c r="AF348" s="34" t="s">
        <v>274</v>
      </c>
      <c r="AG348" s="34">
        <v>2020</v>
      </c>
      <c r="AH348" s="35">
        <v>2020</v>
      </c>
      <c r="BZ348" s="71"/>
      <c r="CD348" s="20" t="e">
        <f t="shared" si="49"/>
        <v>#N/A</v>
      </c>
    </row>
    <row r="349" spans="1:82" ht="61.5" x14ac:dyDescent="0.85">
      <c r="A349" s="20">
        <v>1</v>
      </c>
      <c r="B349" s="66">
        <f>SUBTOTAL(103,$A$22:A349)</f>
        <v>311</v>
      </c>
      <c r="C349" s="24" t="s">
        <v>1246</v>
      </c>
      <c r="D349" s="31">
        <f>E349+F349+G349+H349+I349+J349+L349+N349+P349+R349+T349+U349+V349+W349+X349+Y349+Z349+AA349+AB349+AC349+AD349+AE349</f>
        <v>1290357.97</v>
      </c>
      <c r="E349" s="38">
        <v>0</v>
      </c>
      <c r="F349" s="38">
        <v>0</v>
      </c>
      <c r="G349" s="31">
        <v>0</v>
      </c>
      <c r="H349" s="38">
        <v>0</v>
      </c>
      <c r="I349" s="38">
        <v>0</v>
      </c>
      <c r="J349" s="38">
        <v>0</v>
      </c>
      <c r="K349" s="33">
        <v>0</v>
      </c>
      <c r="L349" s="31">
        <v>0</v>
      </c>
      <c r="M349" s="31">
        <v>0</v>
      </c>
      <c r="N349" s="31">
        <v>0</v>
      </c>
      <c r="O349" s="38">
        <v>0</v>
      </c>
      <c r="P349" s="38">
        <v>0</v>
      </c>
      <c r="Q349" s="31">
        <v>497</v>
      </c>
      <c r="R349" s="31">
        <v>1271288.6399999999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f>ROUND(R349*1.5%,2)</f>
        <v>19069.330000000002</v>
      </c>
      <c r="AD349" s="31">
        <v>0</v>
      </c>
      <c r="AE349" s="31">
        <v>0</v>
      </c>
      <c r="AF349" s="34" t="s">
        <v>274</v>
      </c>
      <c r="AG349" s="34">
        <v>2020</v>
      </c>
      <c r="AH349" s="35">
        <v>2020</v>
      </c>
      <c r="BZ349" s="71"/>
      <c r="CD349" s="20" t="e">
        <f t="shared" si="49"/>
        <v>#N/A</v>
      </c>
    </row>
    <row r="350" spans="1:82" ht="61.5" x14ac:dyDescent="0.85">
      <c r="B350" s="24" t="s">
        <v>852</v>
      </c>
      <c r="C350" s="208"/>
      <c r="D350" s="30">
        <f>SUM(D351:D352)</f>
        <v>7840990.7699999986</v>
      </c>
      <c r="E350" s="30">
        <f t="shared" ref="E350:AE350" si="51">SUM(E351:E352)</f>
        <v>0</v>
      </c>
      <c r="F350" s="30">
        <f t="shared" si="51"/>
        <v>0</v>
      </c>
      <c r="G350" s="30">
        <f t="shared" si="51"/>
        <v>0</v>
      </c>
      <c r="H350" s="30">
        <f t="shared" si="51"/>
        <v>0</v>
      </c>
      <c r="I350" s="30">
        <f t="shared" si="51"/>
        <v>0</v>
      </c>
      <c r="J350" s="30">
        <f t="shared" si="51"/>
        <v>0</v>
      </c>
      <c r="K350" s="127">
        <f t="shared" si="51"/>
        <v>0</v>
      </c>
      <c r="L350" s="30">
        <f t="shared" si="51"/>
        <v>0</v>
      </c>
      <c r="M350" s="30">
        <f t="shared" si="51"/>
        <v>1340.24</v>
      </c>
      <c r="N350" s="30">
        <f t="shared" si="51"/>
        <v>7725114.0599999987</v>
      </c>
      <c r="O350" s="30">
        <f t="shared" si="51"/>
        <v>0</v>
      </c>
      <c r="P350" s="30">
        <f t="shared" si="51"/>
        <v>0</v>
      </c>
      <c r="Q350" s="30">
        <f t="shared" si="51"/>
        <v>0</v>
      </c>
      <c r="R350" s="30">
        <f t="shared" si="51"/>
        <v>0</v>
      </c>
      <c r="S350" s="30">
        <f t="shared" si="51"/>
        <v>0</v>
      </c>
      <c r="T350" s="30">
        <f t="shared" si="51"/>
        <v>0</v>
      </c>
      <c r="U350" s="30">
        <f t="shared" si="51"/>
        <v>0</v>
      </c>
      <c r="V350" s="30">
        <f t="shared" si="51"/>
        <v>0</v>
      </c>
      <c r="W350" s="30">
        <f t="shared" si="51"/>
        <v>0</v>
      </c>
      <c r="X350" s="30">
        <f t="shared" si="51"/>
        <v>0</v>
      </c>
      <c r="Y350" s="30">
        <f t="shared" si="51"/>
        <v>0</v>
      </c>
      <c r="Z350" s="30">
        <f t="shared" si="51"/>
        <v>0</v>
      </c>
      <c r="AA350" s="30">
        <f t="shared" si="51"/>
        <v>0</v>
      </c>
      <c r="AB350" s="30">
        <f t="shared" si="51"/>
        <v>0</v>
      </c>
      <c r="AC350" s="30">
        <f t="shared" si="51"/>
        <v>115876.71</v>
      </c>
      <c r="AD350" s="30">
        <f t="shared" si="51"/>
        <v>0</v>
      </c>
      <c r="AE350" s="30">
        <f t="shared" si="51"/>
        <v>0</v>
      </c>
      <c r="AF350" s="72" t="s">
        <v>776</v>
      </c>
      <c r="AG350" s="72" t="s">
        <v>776</v>
      </c>
      <c r="AH350" s="88" t="s">
        <v>776</v>
      </c>
      <c r="AT350" s="20" t="e">
        <f>VLOOKUP(C350,AW:AX,2,FALSE)</f>
        <v>#N/A</v>
      </c>
      <c r="BZ350" s="71">
        <v>7838189.9699999997</v>
      </c>
      <c r="CB350" s="71">
        <f>BZ350-D350</f>
        <v>-2800.7999999988824</v>
      </c>
      <c r="CD350" s="20" t="e">
        <f t="shared" si="49"/>
        <v>#N/A</v>
      </c>
    </row>
    <row r="351" spans="1:82" ht="61.5" x14ac:dyDescent="0.85">
      <c r="A351" s="20">
        <v>1</v>
      </c>
      <c r="B351" s="66">
        <f>SUBTOTAL(103,$A$22:A351)</f>
        <v>312</v>
      </c>
      <c r="C351" s="25" t="s">
        <v>0</v>
      </c>
      <c r="D351" s="31">
        <f>E351+F351+G351+H351+I351+J351+L351+N351+P351+R351+T351+U351+V351+W351+X351+Y351+Z351+AA351+AB351+AC351+AD351+AE351</f>
        <v>2876974.34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3">
        <v>0</v>
      </c>
      <c r="L351" s="31">
        <v>0</v>
      </c>
      <c r="M351" s="31">
        <v>618.1</v>
      </c>
      <c r="N351" s="31">
        <v>2834457.48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f>ROUND(N351*1.5%,2)</f>
        <v>42516.86</v>
      </c>
      <c r="AD351" s="31">
        <v>0</v>
      </c>
      <c r="AE351" s="31">
        <v>0</v>
      </c>
      <c r="AF351" s="34" t="s">
        <v>274</v>
      </c>
      <c r="AG351" s="34">
        <v>2020</v>
      </c>
      <c r="AH351" s="35">
        <v>2020</v>
      </c>
      <c r="AT351" s="20" t="e">
        <f>VLOOKUP(C351,AW:AX,2,FALSE)</f>
        <v>#N/A</v>
      </c>
      <c r="BZ351" s="71"/>
      <c r="CD351" s="20">
        <f t="shared" si="49"/>
        <v>618.1</v>
      </c>
    </row>
    <row r="352" spans="1:82" ht="61.5" x14ac:dyDescent="0.85">
      <c r="A352" s="20">
        <v>1</v>
      </c>
      <c r="B352" s="66">
        <f>SUBTOTAL(103,$A$22:A352)</f>
        <v>313</v>
      </c>
      <c r="C352" s="24" t="s">
        <v>5</v>
      </c>
      <c r="D352" s="31">
        <f>E352+F352+G352+H352+I352+J352+L352+N352+P352+R352+T352+U352+V352+W352+X352+Y352+Z352+AA352+AB352+AC352+AD352+AE352</f>
        <v>4964016.4299999988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3">
        <v>0</v>
      </c>
      <c r="L352" s="31">
        <v>0</v>
      </c>
      <c r="M352" s="31">
        <v>722.14</v>
      </c>
      <c r="N352" s="31">
        <f>3127494.34+147783.25+128832.61+507278.24+979268.14</f>
        <v>4890656.5799999991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f>ROUND(N352*1.5%,2)</f>
        <v>73359.850000000006</v>
      </c>
      <c r="AD352" s="31">
        <v>0</v>
      </c>
      <c r="AE352" s="31">
        <v>0</v>
      </c>
      <c r="AF352" s="34" t="s">
        <v>274</v>
      </c>
      <c r="AG352" s="34">
        <v>2020</v>
      </c>
      <c r="AH352" s="35">
        <v>2020</v>
      </c>
      <c r="AT352" s="20" t="e">
        <f>VLOOKUP(C352,AW:AX,2,FALSE)</f>
        <v>#N/A</v>
      </c>
      <c r="BZ352" s="71"/>
      <c r="CD352" s="20">
        <f t="shared" si="49"/>
        <v>722.14</v>
      </c>
    </row>
    <row r="353" spans="1:82" ht="61.5" x14ac:dyDescent="0.85">
      <c r="B353" s="24" t="s">
        <v>853</v>
      </c>
      <c r="C353" s="129"/>
      <c r="D353" s="31">
        <f>SUM(D354:D356)</f>
        <v>8506805.8699999992</v>
      </c>
      <c r="E353" s="31">
        <f t="shared" ref="E353:AE353" si="52">SUM(E354:E356)</f>
        <v>0</v>
      </c>
      <c r="F353" s="31">
        <f t="shared" si="52"/>
        <v>0</v>
      </c>
      <c r="G353" s="31">
        <f t="shared" si="52"/>
        <v>6562845.1299999999</v>
      </c>
      <c r="H353" s="31">
        <f t="shared" si="52"/>
        <v>0</v>
      </c>
      <c r="I353" s="31">
        <f t="shared" si="52"/>
        <v>0</v>
      </c>
      <c r="J353" s="31">
        <f t="shared" si="52"/>
        <v>0</v>
      </c>
      <c r="K353" s="33">
        <f t="shared" si="52"/>
        <v>0</v>
      </c>
      <c r="L353" s="31">
        <f t="shared" si="52"/>
        <v>0</v>
      </c>
      <c r="M353" s="31">
        <f t="shared" si="52"/>
        <v>430.15</v>
      </c>
      <c r="N353" s="31">
        <f t="shared" si="52"/>
        <v>1807110.74</v>
      </c>
      <c r="O353" s="31">
        <f t="shared" si="52"/>
        <v>0</v>
      </c>
      <c r="P353" s="31">
        <f t="shared" si="52"/>
        <v>0</v>
      </c>
      <c r="Q353" s="31">
        <f t="shared" si="52"/>
        <v>0</v>
      </c>
      <c r="R353" s="31">
        <f t="shared" si="52"/>
        <v>0</v>
      </c>
      <c r="S353" s="31">
        <f t="shared" si="52"/>
        <v>0</v>
      </c>
      <c r="T353" s="31">
        <f t="shared" si="52"/>
        <v>0</v>
      </c>
      <c r="U353" s="31">
        <f t="shared" si="52"/>
        <v>0</v>
      </c>
      <c r="V353" s="31">
        <f t="shared" si="52"/>
        <v>0</v>
      </c>
      <c r="W353" s="31">
        <f t="shared" si="52"/>
        <v>0</v>
      </c>
      <c r="X353" s="31">
        <f t="shared" si="52"/>
        <v>0</v>
      </c>
      <c r="Y353" s="31">
        <f t="shared" si="52"/>
        <v>0</v>
      </c>
      <c r="Z353" s="31">
        <f t="shared" si="52"/>
        <v>0</v>
      </c>
      <c r="AA353" s="31">
        <f t="shared" si="52"/>
        <v>0</v>
      </c>
      <c r="AB353" s="31">
        <f t="shared" si="52"/>
        <v>0</v>
      </c>
      <c r="AC353" s="31">
        <f t="shared" si="52"/>
        <v>27106.66</v>
      </c>
      <c r="AD353" s="31">
        <f t="shared" si="52"/>
        <v>109743.34</v>
      </c>
      <c r="AE353" s="31">
        <f t="shared" si="52"/>
        <v>0</v>
      </c>
      <c r="AF353" s="72" t="s">
        <v>776</v>
      </c>
      <c r="AG353" s="72" t="s">
        <v>776</v>
      </c>
      <c r="AH353" s="88" t="s">
        <v>776</v>
      </c>
      <c r="AT353" s="20" t="e">
        <f>VLOOKUP(C353,AW:AX,2,FALSE)</f>
        <v>#N/A</v>
      </c>
      <c r="BZ353" s="71">
        <v>11111629.25</v>
      </c>
      <c r="CB353" s="71">
        <f>BZ353-D353</f>
        <v>2604823.3800000008</v>
      </c>
      <c r="CD353" s="20" t="e">
        <f t="shared" si="49"/>
        <v>#N/A</v>
      </c>
    </row>
    <row r="354" spans="1:82" ht="61.5" x14ac:dyDescent="0.85">
      <c r="A354" s="20">
        <v>1</v>
      </c>
      <c r="B354" s="66">
        <f>SUBTOTAL(103,$A$22:A354)</f>
        <v>314</v>
      </c>
      <c r="C354" s="24" t="s">
        <v>716</v>
      </c>
      <c r="D354" s="31">
        <f>E354+F354+G354+H354+I354+J354+L354+N354+P354+R354+T354+U354+V354+W354+X354+Y354+Z354+AA354+AB354+AC354+AD354+AE354</f>
        <v>51949.1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3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f>ROUND(N354*1.5%,2)</f>
        <v>0</v>
      </c>
      <c r="AD354" s="31">
        <v>51949.1</v>
      </c>
      <c r="AE354" s="31">
        <v>0</v>
      </c>
      <c r="AF354" s="34">
        <v>2020</v>
      </c>
      <c r="AG354" s="34" t="s">
        <v>274</v>
      </c>
      <c r="AH354" s="35" t="s">
        <v>274</v>
      </c>
      <c r="AT354" s="20" t="e">
        <f>VLOOKUP(C354,AW:AX,2,FALSE)</f>
        <v>#N/A</v>
      </c>
      <c r="BZ354" s="71"/>
      <c r="CD354" s="20" t="e">
        <f t="shared" si="49"/>
        <v>#N/A</v>
      </c>
    </row>
    <row r="355" spans="1:82" ht="61.5" x14ac:dyDescent="0.85">
      <c r="A355" s="20">
        <v>1</v>
      </c>
      <c r="B355" s="66">
        <f>SUBTOTAL(103,$A$22:A355)</f>
        <v>315</v>
      </c>
      <c r="C355" s="24" t="s">
        <v>1248</v>
      </c>
      <c r="D355" s="31">
        <f>E355+F355+G355+H355+I355+J355+L355+N355+P355+R355+T355+U355+V355+W355+X355+Y355+Z355+AA355+AB355+AC355+AD355+AE355</f>
        <v>6562845.1299999999</v>
      </c>
      <c r="E355" s="38">
        <v>0</v>
      </c>
      <c r="F355" s="38">
        <v>0</v>
      </c>
      <c r="G355" s="31">
        <v>6562845.1299999999</v>
      </c>
      <c r="H355" s="38">
        <v>0</v>
      </c>
      <c r="I355" s="38">
        <v>0</v>
      </c>
      <c r="J355" s="38">
        <v>0</v>
      </c>
      <c r="K355" s="33">
        <v>0</v>
      </c>
      <c r="L355" s="31">
        <v>0</v>
      </c>
      <c r="M355" s="31">
        <v>0</v>
      </c>
      <c r="N355" s="31">
        <v>0</v>
      </c>
      <c r="O355" s="38">
        <v>0</v>
      </c>
      <c r="P355" s="38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4" t="s">
        <v>274</v>
      </c>
      <c r="AG355" s="34">
        <v>2020</v>
      </c>
      <c r="AH355" s="35" t="s">
        <v>274</v>
      </c>
      <c r="BZ355" s="71"/>
      <c r="CD355" s="20" t="e">
        <f t="shared" si="49"/>
        <v>#N/A</v>
      </c>
    </row>
    <row r="356" spans="1:82" ht="61.5" x14ac:dyDescent="0.85">
      <c r="A356" s="20">
        <v>1</v>
      </c>
      <c r="B356" s="66">
        <f>SUBTOTAL(103,$A$22:A356)</f>
        <v>316</v>
      </c>
      <c r="C356" s="24" t="s">
        <v>1616</v>
      </c>
      <c r="D356" s="31">
        <f>E356+F356+G356+H356+I356+J356+L356+N356+P356+R356+T356+U356+V356+W356+X356+Y356+Z356+AA356+AB356+AC356+AD356+AE356</f>
        <v>1892011.64</v>
      </c>
      <c r="E356" s="38">
        <v>0</v>
      </c>
      <c r="F356" s="38">
        <v>0</v>
      </c>
      <c r="G356" s="31">
        <v>0</v>
      </c>
      <c r="H356" s="38">
        <v>0</v>
      </c>
      <c r="I356" s="38">
        <v>0</v>
      </c>
      <c r="J356" s="38">
        <v>0</v>
      </c>
      <c r="K356" s="33">
        <v>0</v>
      </c>
      <c r="L356" s="31">
        <v>0</v>
      </c>
      <c r="M356" s="31">
        <v>430.15</v>
      </c>
      <c r="N356" s="31">
        <v>1807110.74</v>
      </c>
      <c r="O356" s="38">
        <v>0</v>
      </c>
      <c r="P356" s="38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f>ROUND(N356*1.5%,2)</f>
        <v>27106.66</v>
      </c>
      <c r="AD356" s="31">
        <v>57794.239999999998</v>
      </c>
      <c r="AE356" s="31">
        <v>0</v>
      </c>
      <c r="AF356" s="34">
        <v>2020</v>
      </c>
      <c r="AG356" s="34">
        <v>2020</v>
      </c>
      <c r="AH356" s="35">
        <v>2020</v>
      </c>
      <c r="BZ356" s="71"/>
      <c r="CD356" s="20" t="e">
        <f t="shared" si="49"/>
        <v>#N/A</v>
      </c>
    </row>
    <row r="357" spans="1:82" ht="61.5" x14ac:dyDescent="0.85">
      <c r="B357" s="24" t="s">
        <v>854</v>
      </c>
      <c r="C357" s="24"/>
      <c r="D357" s="31">
        <f>SUM(D358:D360)</f>
        <v>12214042.07</v>
      </c>
      <c r="E357" s="31">
        <f t="shared" ref="E357:AE357" si="53">SUM(E358:E360)</f>
        <v>0</v>
      </c>
      <c r="F357" s="31">
        <f t="shared" si="53"/>
        <v>0</v>
      </c>
      <c r="G357" s="31">
        <f t="shared" si="53"/>
        <v>3988765.8700000006</v>
      </c>
      <c r="H357" s="31">
        <f t="shared" si="53"/>
        <v>545432.23</v>
      </c>
      <c r="I357" s="31">
        <f t="shared" si="53"/>
        <v>0</v>
      </c>
      <c r="J357" s="31">
        <f t="shared" si="53"/>
        <v>0</v>
      </c>
      <c r="K357" s="33">
        <f t="shared" si="53"/>
        <v>0</v>
      </c>
      <c r="L357" s="31">
        <f t="shared" si="53"/>
        <v>0</v>
      </c>
      <c r="M357" s="31">
        <f t="shared" si="53"/>
        <v>2003.8</v>
      </c>
      <c r="N357" s="31">
        <f t="shared" si="53"/>
        <v>7386266.3000000007</v>
      </c>
      <c r="O357" s="31">
        <f t="shared" si="53"/>
        <v>0</v>
      </c>
      <c r="P357" s="31">
        <f t="shared" si="53"/>
        <v>0</v>
      </c>
      <c r="Q357" s="31">
        <f t="shared" si="53"/>
        <v>0</v>
      </c>
      <c r="R357" s="31">
        <f t="shared" si="53"/>
        <v>0</v>
      </c>
      <c r="S357" s="31">
        <f t="shared" si="53"/>
        <v>0</v>
      </c>
      <c r="T357" s="31">
        <f t="shared" si="53"/>
        <v>0</v>
      </c>
      <c r="U357" s="31">
        <f t="shared" si="53"/>
        <v>0</v>
      </c>
      <c r="V357" s="31">
        <f t="shared" si="53"/>
        <v>0</v>
      </c>
      <c r="W357" s="31">
        <f t="shared" si="53"/>
        <v>0</v>
      </c>
      <c r="X357" s="31">
        <f t="shared" si="53"/>
        <v>0</v>
      </c>
      <c r="Y357" s="31">
        <f t="shared" si="53"/>
        <v>0</v>
      </c>
      <c r="Z357" s="31">
        <f t="shared" si="53"/>
        <v>0</v>
      </c>
      <c r="AA357" s="31">
        <f t="shared" si="53"/>
        <v>0</v>
      </c>
      <c r="AB357" s="31">
        <f t="shared" si="53"/>
        <v>0</v>
      </c>
      <c r="AC357" s="31">
        <f t="shared" si="53"/>
        <v>178806.97</v>
      </c>
      <c r="AD357" s="31">
        <f t="shared" si="53"/>
        <v>114770.7</v>
      </c>
      <c r="AE357" s="31">
        <f t="shared" si="53"/>
        <v>0</v>
      </c>
      <c r="AF357" s="72" t="s">
        <v>776</v>
      </c>
      <c r="AG357" s="72" t="s">
        <v>776</v>
      </c>
      <c r="AH357" s="88" t="s">
        <v>776</v>
      </c>
      <c r="AT357" s="20" t="e">
        <f>VLOOKUP(C357,AW:AX,2,FALSE)</f>
        <v>#N/A</v>
      </c>
      <c r="BZ357" s="71">
        <v>12137858.549999999</v>
      </c>
      <c r="CB357" s="71">
        <f>BZ357-D357</f>
        <v>-76183.520000001416</v>
      </c>
      <c r="CD357" s="20" t="e">
        <f t="shared" si="49"/>
        <v>#N/A</v>
      </c>
    </row>
    <row r="358" spans="1:82" ht="61.5" x14ac:dyDescent="0.85">
      <c r="A358" s="20">
        <v>1</v>
      </c>
      <c r="B358" s="66">
        <f>SUBTOTAL(103,$A$22:A358)</f>
        <v>317</v>
      </c>
      <c r="C358" s="24" t="s">
        <v>722</v>
      </c>
      <c r="D358" s="31">
        <f>E358+F358+G358+H358+I358+J358+L358+N358+P358+R358+T358+U358+V358+W358+X358+Y358+Z358+AA358+AB358+AC358+AD358+AE358</f>
        <v>3971480.2600000002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3">
        <v>0</v>
      </c>
      <c r="L358" s="31">
        <v>0</v>
      </c>
      <c r="M358" s="31">
        <v>1241</v>
      </c>
      <c r="N358" s="31">
        <f>3798474.64+1239.21</f>
        <v>3799713.85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f>ROUND(N358*1.5%,2)</f>
        <v>56995.71</v>
      </c>
      <c r="AD358" s="31">
        <v>114770.7</v>
      </c>
      <c r="AE358" s="31">
        <v>0</v>
      </c>
      <c r="AF358" s="34">
        <v>2020</v>
      </c>
      <c r="AG358" s="34">
        <v>2020</v>
      </c>
      <c r="AH358" s="35">
        <v>2020</v>
      </c>
      <c r="AT358" s="20" t="e">
        <f>VLOOKUP(C358,AW:AX,2,FALSE)</f>
        <v>#N/A</v>
      </c>
      <c r="BZ358" s="71"/>
      <c r="CD358" s="20" t="e">
        <f t="shared" si="49"/>
        <v>#N/A</v>
      </c>
    </row>
    <row r="359" spans="1:82" ht="61.5" x14ac:dyDescent="0.85">
      <c r="A359" s="20">
        <v>1</v>
      </c>
      <c r="B359" s="66">
        <f>SUBTOTAL(103,$A$22:A359)</f>
        <v>318</v>
      </c>
      <c r="C359" s="24" t="s">
        <v>1249</v>
      </c>
      <c r="D359" s="31">
        <f>E359+F359+G359+H359+I359+J359+L359+N359+P359+R359+T359+U359+V359+W359+X359+Y359+Z359+AA359+AB359+AC359+AD359+AE359</f>
        <v>4602211.07</v>
      </c>
      <c r="E359" s="31">
        <v>0</v>
      </c>
      <c r="F359" s="31">
        <v>0</v>
      </c>
      <c r="G359" s="31">
        <f>1758166.01+2128230.22+ROUND(103905.18/101.5*100,2)</f>
        <v>3988765.8700000006</v>
      </c>
      <c r="H359" s="31">
        <v>545432.23</v>
      </c>
      <c r="I359" s="31">
        <v>0</v>
      </c>
      <c r="J359" s="31">
        <v>0</v>
      </c>
      <c r="K359" s="33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f>ROUND((E359+F359+G359+H359+I359+J359)*1.5%,2)</f>
        <v>68012.97</v>
      </c>
      <c r="AD359" s="31">
        <v>0</v>
      </c>
      <c r="AE359" s="31">
        <v>0</v>
      </c>
      <c r="AF359" s="34" t="s">
        <v>274</v>
      </c>
      <c r="AG359" s="34">
        <v>2020</v>
      </c>
      <c r="AH359" s="35">
        <v>2020</v>
      </c>
      <c r="BZ359" s="71"/>
      <c r="CD359" s="20" t="e">
        <f t="shared" si="49"/>
        <v>#N/A</v>
      </c>
    </row>
    <row r="360" spans="1:82" ht="61.5" x14ac:dyDescent="0.85">
      <c r="A360" s="20">
        <v>1</v>
      </c>
      <c r="B360" s="66">
        <f>SUBTOTAL(103,$A$22:A360)</f>
        <v>319</v>
      </c>
      <c r="C360" s="24" t="s">
        <v>1599</v>
      </c>
      <c r="D360" s="31">
        <f>E360+F360+G360+H360+I360+J360+L360+N360+P360+R360+T360+U360+V360+W360+X360+Y360+Z360+AA360+AB360+AC360+AD360+AE360</f>
        <v>3640350.74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3">
        <v>0</v>
      </c>
      <c r="L360" s="31">
        <v>0</v>
      </c>
      <c r="M360" s="31">
        <v>762.8</v>
      </c>
      <c r="N360" s="31">
        <f>3130467.24+457645.51-1560.3</f>
        <v>3586552.45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f>ROUND(N360*1.5%,2)</f>
        <v>53798.29</v>
      </c>
      <c r="AD360" s="31">
        <v>0</v>
      </c>
      <c r="AE360" s="31">
        <v>0</v>
      </c>
      <c r="AF360" s="34" t="s">
        <v>274</v>
      </c>
      <c r="AG360" s="34">
        <v>2020</v>
      </c>
      <c r="AH360" s="35">
        <v>2020</v>
      </c>
      <c r="BZ360" s="71"/>
      <c r="CD360" s="20">
        <f t="shared" si="49"/>
        <v>762.8</v>
      </c>
    </row>
    <row r="361" spans="1:82" ht="61.5" x14ac:dyDescent="0.85">
      <c r="B361" s="24" t="s">
        <v>855</v>
      </c>
      <c r="C361" s="24"/>
      <c r="D361" s="31">
        <f t="shared" ref="D361:AE361" si="54">D362</f>
        <v>5698132.5200000005</v>
      </c>
      <c r="E361" s="31">
        <f t="shared" si="54"/>
        <v>0</v>
      </c>
      <c r="F361" s="31">
        <f t="shared" si="54"/>
        <v>0</v>
      </c>
      <c r="G361" s="31">
        <f t="shared" si="54"/>
        <v>0</v>
      </c>
      <c r="H361" s="31">
        <f t="shared" si="54"/>
        <v>0</v>
      </c>
      <c r="I361" s="31">
        <f t="shared" si="54"/>
        <v>0</v>
      </c>
      <c r="J361" s="31">
        <f t="shared" si="54"/>
        <v>0</v>
      </c>
      <c r="K361" s="33">
        <f t="shared" si="54"/>
        <v>0</v>
      </c>
      <c r="L361" s="31">
        <f t="shared" si="54"/>
        <v>0</v>
      </c>
      <c r="M361" s="31">
        <f t="shared" si="54"/>
        <v>475</v>
      </c>
      <c r="N361" s="31">
        <f t="shared" si="54"/>
        <v>2323080.91</v>
      </c>
      <c r="O361" s="31">
        <f t="shared" si="54"/>
        <v>0</v>
      </c>
      <c r="P361" s="31">
        <f t="shared" si="54"/>
        <v>0</v>
      </c>
      <c r="Q361" s="31">
        <f t="shared" si="54"/>
        <v>605</v>
      </c>
      <c r="R361" s="31">
        <f t="shared" si="54"/>
        <v>3034685.12</v>
      </c>
      <c r="S361" s="31">
        <f t="shared" si="54"/>
        <v>0</v>
      </c>
      <c r="T361" s="31">
        <f t="shared" si="54"/>
        <v>0</v>
      </c>
      <c r="U361" s="31">
        <f t="shared" si="54"/>
        <v>0</v>
      </c>
      <c r="V361" s="31">
        <f t="shared" si="54"/>
        <v>0</v>
      </c>
      <c r="W361" s="31">
        <f t="shared" si="54"/>
        <v>0</v>
      </c>
      <c r="X361" s="31">
        <f t="shared" si="54"/>
        <v>0</v>
      </c>
      <c r="Y361" s="31">
        <f t="shared" si="54"/>
        <v>0</v>
      </c>
      <c r="Z361" s="31">
        <f t="shared" si="54"/>
        <v>0</v>
      </c>
      <c r="AA361" s="31">
        <f t="shared" si="54"/>
        <v>0</v>
      </c>
      <c r="AB361" s="31">
        <f t="shared" si="54"/>
        <v>0</v>
      </c>
      <c r="AC361" s="31">
        <f t="shared" si="54"/>
        <v>80366.490000000005</v>
      </c>
      <c r="AD361" s="31">
        <f t="shared" si="54"/>
        <v>260000</v>
      </c>
      <c r="AE361" s="31">
        <f t="shared" si="54"/>
        <v>0</v>
      </c>
      <c r="AF361" s="72" t="s">
        <v>776</v>
      </c>
      <c r="AG361" s="72" t="s">
        <v>776</v>
      </c>
      <c r="AH361" s="88" t="s">
        <v>776</v>
      </c>
      <c r="AT361" s="20" t="e">
        <f t="shared" ref="AT361:AT370" si="55">VLOOKUP(C361,AW:AX,2,FALSE)</f>
        <v>#N/A</v>
      </c>
      <c r="BZ361" s="71">
        <v>5698132.5200000005</v>
      </c>
      <c r="CD361" s="20" t="e">
        <f t="shared" si="49"/>
        <v>#N/A</v>
      </c>
    </row>
    <row r="362" spans="1:82" ht="61.5" x14ac:dyDescent="0.85">
      <c r="A362" s="20">
        <v>1</v>
      </c>
      <c r="B362" s="66">
        <f>SUBTOTAL(103,$A$22:A362)</f>
        <v>320</v>
      </c>
      <c r="C362" s="24" t="s">
        <v>820</v>
      </c>
      <c r="D362" s="31">
        <f>E362+F362+G362+H362+I362+J362+L362+N362+P362+R362+T362+U362+V362+W362+X362+Y362+Z362+AA362+AB362+AC362+AD362+AE362</f>
        <v>5698132.5200000005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3">
        <v>0</v>
      </c>
      <c r="L362" s="31">
        <v>0</v>
      </c>
      <c r="M362" s="31">
        <v>475</v>
      </c>
      <c r="N362" s="31">
        <v>2323080.91</v>
      </c>
      <c r="O362" s="31">
        <v>0</v>
      </c>
      <c r="P362" s="31">
        <v>0</v>
      </c>
      <c r="Q362" s="31">
        <v>605</v>
      </c>
      <c r="R362" s="31">
        <v>3034685.12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f>ROUND((N362+R362)*1.5%,2)</f>
        <v>80366.490000000005</v>
      </c>
      <c r="AD362" s="31">
        <v>260000</v>
      </c>
      <c r="AE362" s="31">
        <v>0</v>
      </c>
      <c r="AF362" s="34">
        <v>2020</v>
      </c>
      <c r="AG362" s="34">
        <v>2020</v>
      </c>
      <c r="AH362" s="35">
        <v>2020</v>
      </c>
      <c r="AT362" s="20" t="e">
        <f t="shared" si="55"/>
        <v>#N/A</v>
      </c>
      <c r="BZ362" s="71"/>
      <c r="CD362" s="20" t="e">
        <f t="shared" si="49"/>
        <v>#N/A</v>
      </c>
    </row>
    <row r="363" spans="1:82" ht="61.5" x14ac:dyDescent="0.85">
      <c r="B363" s="24" t="s">
        <v>856</v>
      </c>
      <c r="C363" s="129"/>
      <c r="D363" s="31">
        <f>SUM(D364:D378)</f>
        <v>54424256.630000003</v>
      </c>
      <c r="E363" s="31">
        <f t="shared" ref="E363:AE363" si="56">SUM(E364:E378)</f>
        <v>598640.67999999993</v>
      </c>
      <c r="F363" s="31">
        <f t="shared" si="56"/>
        <v>0</v>
      </c>
      <c r="G363" s="31">
        <f t="shared" si="56"/>
        <v>2312364.87</v>
      </c>
      <c r="H363" s="31">
        <f t="shared" si="56"/>
        <v>629225.18000000005</v>
      </c>
      <c r="I363" s="31">
        <f t="shared" si="56"/>
        <v>0</v>
      </c>
      <c r="J363" s="31">
        <f t="shared" si="56"/>
        <v>0</v>
      </c>
      <c r="K363" s="33">
        <f t="shared" si="56"/>
        <v>0</v>
      </c>
      <c r="L363" s="31">
        <f t="shared" si="56"/>
        <v>0</v>
      </c>
      <c r="M363" s="31">
        <f t="shared" si="56"/>
        <v>10644.77</v>
      </c>
      <c r="N363" s="31">
        <f t="shared" si="56"/>
        <v>43766932</v>
      </c>
      <c r="O363" s="31">
        <f t="shared" si="56"/>
        <v>0</v>
      </c>
      <c r="P363" s="31">
        <f t="shared" si="56"/>
        <v>0</v>
      </c>
      <c r="Q363" s="31">
        <f t="shared" si="56"/>
        <v>2836.8</v>
      </c>
      <c r="R363" s="31">
        <f t="shared" si="56"/>
        <v>5956067.04</v>
      </c>
      <c r="S363" s="31">
        <f t="shared" si="56"/>
        <v>0</v>
      </c>
      <c r="T363" s="31">
        <f t="shared" si="56"/>
        <v>0</v>
      </c>
      <c r="U363" s="31">
        <f t="shared" si="56"/>
        <v>0</v>
      </c>
      <c r="V363" s="31">
        <f t="shared" si="56"/>
        <v>0</v>
      </c>
      <c r="W363" s="31">
        <f t="shared" si="56"/>
        <v>0</v>
      </c>
      <c r="X363" s="31">
        <f t="shared" si="56"/>
        <v>0</v>
      </c>
      <c r="Y363" s="31">
        <f t="shared" si="56"/>
        <v>0</v>
      </c>
      <c r="Z363" s="31">
        <f t="shared" si="56"/>
        <v>0</v>
      </c>
      <c r="AA363" s="31">
        <f t="shared" si="56"/>
        <v>0</v>
      </c>
      <c r="AB363" s="31">
        <f t="shared" si="56"/>
        <v>0</v>
      </c>
      <c r="AC363" s="31">
        <f t="shared" si="56"/>
        <v>798948.45000000007</v>
      </c>
      <c r="AD363" s="31">
        <f t="shared" si="56"/>
        <v>362078.41000000003</v>
      </c>
      <c r="AE363" s="31">
        <f t="shared" si="56"/>
        <v>0</v>
      </c>
      <c r="AF363" s="72" t="s">
        <v>776</v>
      </c>
      <c r="AG363" s="72" t="s">
        <v>776</v>
      </c>
      <c r="AH363" s="88" t="s">
        <v>776</v>
      </c>
      <c r="AT363" s="20" t="e">
        <f t="shared" si="55"/>
        <v>#N/A</v>
      </c>
      <c r="AV363" s="20">
        <v>20654065.649999999</v>
      </c>
      <c r="AW363" s="71">
        <f>AV363-D363</f>
        <v>-33770190.980000004</v>
      </c>
      <c r="BZ363" s="31">
        <v>56051993.530000009</v>
      </c>
      <c r="CA363" s="31"/>
      <c r="CB363" s="31">
        <f>BZ363-D363</f>
        <v>1627736.900000006</v>
      </c>
      <c r="CD363" s="20" t="e">
        <f t="shared" si="49"/>
        <v>#N/A</v>
      </c>
    </row>
    <row r="364" spans="1:82" ht="61.5" x14ac:dyDescent="0.85">
      <c r="A364" s="20">
        <v>1</v>
      </c>
      <c r="B364" s="66">
        <f>SUBTOTAL(103,$A$22:A364)</f>
        <v>321</v>
      </c>
      <c r="C364" s="24" t="s">
        <v>115</v>
      </c>
      <c r="D364" s="31">
        <f t="shared" ref="D364:D378" si="57">E364+F364+G364+H364+I364+J364+L364+N364+P364+R364+T364+U364+V364+W364+X364+Y364+Z364+AA364+AB364+AC364+AD364+AE364</f>
        <v>3243247.07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3">
        <v>0</v>
      </c>
      <c r="L364" s="31">
        <v>0</v>
      </c>
      <c r="M364" s="31">
        <v>665</v>
      </c>
      <c r="N364" s="31">
        <v>3128078.82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f t="shared" ref="AC364:AC369" si="58">ROUND(N364*1.5%,2)</f>
        <v>46921.18</v>
      </c>
      <c r="AD364" s="31">
        <v>68247.070000000007</v>
      </c>
      <c r="AE364" s="31">
        <v>0</v>
      </c>
      <c r="AF364" s="34">
        <v>2020</v>
      </c>
      <c r="AG364" s="34">
        <v>2020</v>
      </c>
      <c r="AH364" s="35">
        <v>2020</v>
      </c>
      <c r="AT364" s="20" t="e">
        <f t="shared" si="55"/>
        <v>#N/A</v>
      </c>
      <c r="BZ364" s="71"/>
      <c r="CD364" s="20" t="e">
        <f t="shared" si="49"/>
        <v>#N/A</v>
      </c>
    </row>
    <row r="365" spans="1:82" ht="61.5" x14ac:dyDescent="0.85">
      <c r="A365" s="20">
        <v>1</v>
      </c>
      <c r="B365" s="66">
        <f>SUBTOTAL(103,$A$22:A365)</f>
        <v>322</v>
      </c>
      <c r="C365" s="24" t="s">
        <v>118</v>
      </c>
      <c r="D365" s="31">
        <f t="shared" si="57"/>
        <v>3024972.77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3">
        <v>0</v>
      </c>
      <c r="L365" s="31">
        <v>0</v>
      </c>
      <c r="M365" s="31">
        <v>621.29999999999995</v>
      </c>
      <c r="N365" s="31">
        <v>2912807.88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f t="shared" si="58"/>
        <v>43692.12</v>
      </c>
      <c r="AD365" s="31">
        <v>68472.77</v>
      </c>
      <c r="AE365" s="31">
        <v>0</v>
      </c>
      <c r="AF365" s="34">
        <v>2020</v>
      </c>
      <c r="AG365" s="34">
        <v>2020</v>
      </c>
      <c r="AH365" s="35">
        <v>2020</v>
      </c>
      <c r="AT365" s="20" t="e">
        <f t="shared" si="55"/>
        <v>#N/A</v>
      </c>
      <c r="BZ365" s="71"/>
      <c r="CD365" s="20" t="e">
        <f t="shared" si="49"/>
        <v>#N/A</v>
      </c>
    </row>
    <row r="366" spans="1:82" ht="61.5" x14ac:dyDescent="0.85">
      <c r="A366" s="20">
        <v>1</v>
      </c>
      <c r="B366" s="66">
        <f>SUBTOTAL(103,$A$22:A366)</f>
        <v>323</v>
      </c>
      <c r="C366" s="24" t="s">
        <v>114</v>
      </c>
      <c r="D366" s="31">
        <f t="shared" si="57"/>
        <v>1548323.74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3">
        <v>0</v>
      </c>
      <c r="L366" s="31">
        <v>0</v>
      </c>
      <c r="M366" s="31">
        <v>323.5</v>
      </c>
      <c r="N366" s="31">
        <v>1475369.46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f t="shared" si="58"/>
        <v>22130.54</v>
      </c>
      <c r="AD366" s="31">
        <v>50823.74</v>
      </c>
      <c r="AE366" s="31">
        <v>0</v>
      </c>
      <c r="AF366" s="34">
        <v>2020</v>
      </c>
      <c r="AG366" s="34">
        <v>2020</v>
      </c>
      <c r="AH366" s="35">
        <v>2020</v>
      </c>
      <c r="AT366" s="20" t="e">
        <f t="shared" si="55"/>
        <v>#N/A</v>
      </c>
      <c r="BZ366" s="71"/>
      <c r="CD366" s="20" t="e">
        <f t="shared" si="49"/>
        <v>#N/A</v>
      </c>
    </row>
    <row r="367" spans="1:82" ht="61.5" x14ac:dyDescent="0.85">
      <c r="A367" s="20">
        <v>1</v>
      </c>
      <c r="B367" s="66">
        <f>SUBTOTAL(103,$A$22:A367)</f>
        <v>324</v>
      </c>
      <c r="C367" s="24" t="s">
        <v>116</v>
      </c>
      <c r="D367" s="31">
        <f t="shared" si="57"/>
        <v>4597872.8600000003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3">
        <v>0</v>
      </c>
      <c r="L367" s="31">
        <v>0</v>
      </c>
      <c r="M367" s="31">
        <v>1235.5</v>
      </c>
      <c r="N367" s="31">
        <v>4529924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f t="shared" si="58"/>
        <v>67948.86</v>
      </c>
      <c r="AD367" s="31">
        <v>0</v>
      </c>
      <c r="AE367" s="31">
        <v>0</v>
      </c>
      <c r="AF367" s="34" t="s">
        <v>274</v>
      </c>
      <c r="AG367" s="34">
        <v>2020</v>
      </c>
      <c r="AH367" s="35">
        <v>2020</v>
      </c>
      <c r="AT367" s="20" t="e">
        <f t="shared" si="55"/>
        <v>#N/A</v>
      </c>
      <c r="BZ367" s="71"/>
      <c r="CD367" s="20">
        <f t="shared" si="49"/>
        <v>1256.9000000000001</v>
      </c>
    </row>
    <row r="368" spans="1:82" ht="61.5" x14ac:dyDescent="0.85">
      <c r="A368" s="20">
        <v>1</v>
      </c>
      <c r="B368" s="66">
        <f>SUBTOTAL(103,$A$22:A368)</f>
        <v>325</v>
      </c>
      <c r="C368" s="24" t="s">
        <v>117</v>
      </c>
      <c r="D368" s="31">
        <f t="shared" si="57"/>
        <v>5549355.2299999995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3">
        <v>0</v>
      </c>
      <c r="L368" s="31">
        <v>0</v>
      </c>
      <c r="M368" s="31">
        <v>1151</v>
      </c>
      <c r="N368" s="31">
        <v>5467345.0499999998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f t="shared" si="58"/>
        <v>82010.179999999993</v>
      </c>
      <c r="AD368" s="31">
        <v>0</v>
      </c>
      <c r="AE368" s="31">
        <v>0</v>
      </c>
      <c r="AF368" s="34" t="s">
        <v>274</v>
      </c>
      <c r="AG368" s="34">
        <v>2020</v>
      </c>
      <c r="AH368" s="35">
        <v>2020</v>
      </c>
      <c r="AT368" s="20" t="e">
        <f t="shared" si="55"/>
        <v>#N/A</v>
      </c>
      <c r="BZ368" s="71"/>
      <c r="CD368" s="20">
        <f t="shared" si="49"/>
        <v>1151</v>
      </c>
    </row>
    <row r="369" spans="1:82" ht="61.5" x14ac:dyDescent="0.85">
      <c r="A369" s="20">
        <v>1</v>
      </c>
      <c r="B369" s="66">
        <f>SUBTOTAL(103,$A$22:A369)</f>
        <v>326</v>
      </c>
      <c r="C369" s="24" t="s">
        <v>119</v>
      </c>
      <c r="D369" s="31">
        <f t="shared" si="57"/>
        <v>3118132.03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3">
        <v>0</v>
      </c>
      <c r="L369" s="31">
        <v>0</v>
      </c>
      <c r="M369" s="31">
        <v>639.9</v>
      </c>
      <c r="N369" s="31">
        <v>3004433.5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f t="shared" si="58"/>
        <v>45066.5</v>
      </c>
      <c r="AD369" s="31">
        <v>68632.03</v>
      </c>
      <c r="AE369" s="31">
        <v>0</v>
      </c>
      <c r="AF369" s="34">
        <v>2020</v>
      </c>
      <c r="AG369" s="34">
        <v>2020</v>
      </c>
      <c r="AH369" s="35">
        <v>2020</v>
      </c>
      <c r="AT369" s="20" t="e">
        <f t="shared" si="55"/>
        <v>#N/A</v>
      </c>
      <c r="BZ369" s="71"/>
      <c r="CD369" s="20" t="e">
        <f t="shared" si="49"/>
        <v>#N/A</v>
      </c>
    </row>
    <row r="370" spans="1:82" ht="61.5" x14ac:dyDescent="0.85">
      <c r="A370" s="20">
        <v>1</v>
      </c>
      <c r="B370" s="66">
        <f>SUBTOTAL(103,$A$22:A370)</f>
        <v>327</v>
      </c>
      <c r="C370" s="24" t="s">
        <v>120</v>
      </c>
      <c r="D370" s="31">
        <f t="shared" si="57"/>
        <v>2197982.44</v>
      </c>
      <c r="E370" s="31">
        <v>427797.72</v>
      </c>
      <c r="F370" s="31">
        <v>0</v>
      </c>
      <c r="G370" s="31">
        <v>1321402.94</v>
      </c>
      <c r="H370" s="31">
        <v>416299.28</v>
      </c>
      <c r="I370" s="31">
        <v>0</v>
      </c>
      <c r="J370" s="31">
        <v>0</v>
      </c>
      <c r="K370" s="33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f>ROUND((E370+F370+G370+H370+I370+J370)*1.5%,2)</f>
        <v>32482.5</v>
      </c>
      <c r="AD370" s="31">
        <v>0</v>
      </c>
      <c r="AE370" s="31">
        <v>0</v>
      </c>
      <c r="AF370" s="34" t="s">
        <v>274</v>
      </c>
      <c r="AG370" s="34">
        <v>2020</v>
      </c>
      <c r="AH370" s="35">
        <v>2020</v>
      </c>
      <c r="AT370" s="20" t="e">
        <f t="shared" si="55"/>
        <v>#N/A</v>
      </c>
      <c r="BZ370" s="71"/>
      <c r="CD370" s="20" t="e">
        <f t="shared" si="49"/>
        <v>#N/A</v>
      </c>
    </row>
    <row r="371" spans="1:82" ht="61.5" x14ac:dyDescent="0.85">
      <c r="A371" s="20">
        <v>1</v>
      </c>
      <c r="B371" s="66">
        <f>SUBTOTAL(103,$A$22:A371)</f>
        <v>328</v>
      </c>
      <c r="C371" s="24" t="s">
        <v>1250</v>
      </c>
      <c r="D371" s="31">
        <f t="shared" si="57"/>
        <v>6045408.0499999998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3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2836.8</v>
      </c>
      <c r="R371" s="31">
        <f>5944683.98+11383.06</f>
        <v>5956067.04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f>ROUND(R371*1.5%,2)</f>
        <v>89341.01</v>
      </c>
      <c r="AD371" s="31">
        <v>0</v>
      </c>
      <c r="AE371" s="31">
        <v>0</v>
      </c>
      <c r="AF371" s="34" t="s">
        <v>274</v>
      </c>
      <c r="AG371" s="34">
        <v>2020</v>
      </c>
      <c r="AH371" s="35">
        <v>2020</v>
      </c>
      <c r="BZ371" s="71"/>
      <c r="CD371" s="20" t="e">
        <f t="shared" si="49"/>
        <v>#N/A</v>
      </c>
    </row>
    <row r="372" spans="1:82" ht="61.5" x14ac:dyDescent="0.85">
      <c r="A372" s="20">
        <v>1</v>
      </c>
      <c r="B372" s="66">
        <f>SUBTOTAL(103,$A$22:A372)</f>
        <v>329</v>
      </c>
      <c r="C372" s="24" t="s">
        <v>1251</v>
      </c>
      <c r="D372" s="31">
        <f t="shared" si="57"/>
        <v>4137465.72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3">
        <v>0</v>
      </c>
      <c r="L372" s="31">
        <v>0</v>
      </c>
      <c r="M372" s="31">
        <v>1159.3699999999999</v>
      </c>
      <c r="N372" s="31">
        <v>4076320.91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f>ROUND(N372*1.5%,2)</f>
        <v>61144.81</v>
      </c>
      <c r="AD372" s="31">
        <v>0</v>
      </c>
      <c r="AE372" s="31">
        <v>0</v>
      </c>
      <c r="AF372" s="34" t="s">
        <v>274</v>
      </c>
      <c r="AG372" s="34">
        <v>2020</v>
      </c>
      <c r="AH372" s="35">
        <v>2020</v>
      </c>
      <c r="BZ372" s="71"/>
      <c r="CD372" s="20">
        <f t="shared" si="49"/>
        <v>1150.3</v>
      </c>
    </row>
    <row r="373" spans="1:82" ht="61.5" x14ac:dyDescent="0.85">
      <c r="A373" s="20">
        <v>1</v>
      </c>
      <c r="B373" s="66">
        <f>SUBTOTAL(103,$A$22:A373)</f>
        <v>330</v>
      </c>
      <c r="C373" s="24" t="s">
        <v>1252</v>
      </c>
      <c r="D373" s="31">
        <f t="shared" si="57"/>
        <v>2832917.6399999997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3">
        <v>0</v>
      </c>
      <c r="L373" s="31">
        <v>0</v>
      </c>
      <c r="M373" s="31">
        <v>763.8</v>
      </c>
      <c r="N373" s="31">
        <v>2791051.86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f>ROUND(N373*1.5%,2)</f>
        <v>41865.78</v>
      </c>
      <c r="AD373" s="31">
        <v>0</v>
      </c>
      <c r="AE373" s="31">
        <v>0</v>
      </c>
      <c r="AF373" s="34" t="s">
        <v>274</v>
      </c>
      <c r="AG373" s="34">
        <v>2020</v>
      </c>
      <c r="AH373" s="35">
        <v>2020</v>
      </c>
      <c r="BZ373" s="71"/>
      <c r="CD373" s="20">
        <f t="shared" si="49"/>
        <v>763.8</v>
      </c>
    </row>
    <row r="374" spans="1:82" ht="61.5" x14ac:dyDescent="0.85">
      <c r="A374" s="20">
        <v>1</v>
      </c>
      <c r="B374" s="66">
        <f>SUBTOTAL(103,$A$22:A374)</f>
        <v>331</v>
      </c>
      <c r="C374" s="24" t="s">
        <v>1253</v>
      </c>
      <c r="D374" s="31">
        <f t="shared" si="57"/>
        <v>1749879.69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3">
        <v>0</v>
      </c>
      <c r="L374" s="31">
        <v>0</v>
      </c>
      <c r="M374" s="31">
        <v>456.6</v>
      </c>
      <c r="N374" s="31">
        <v>1724019.4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f>ROUND(N374*1.5%,2)</f>
        <v>25860.29</v>
      </c>
      <c r="AD374" s="31">
        <v>0</v>
      </c>
      <c r="AE374" s="31">
        <v>0</v>
      </c>
      <c r="AF374" s="34" t="s">
        <v>274</v>
      </c>
      <c r="AG374" s="34">
        <v>2020</v>
      </c>
      <c r="AH374" s="35">
        <v>2020</v>
      </c>
      <c r="BZ374" s="71"/>
      <c r="CD374" s="20">
        <f t="shared" si="49"/>
        <v>461.1</v>
      </c>
    </row>
    <row r="375" spans="1:82" ht="61.5" x14ac:dyDescent="0.85">
      <c r="A375" s="20">
        <v>1</v>
      </c>
      <c r="B375" s="66">
        <f>SUBTOTAL(103,$A$22:A375)</f>
        <v>332</v>
      </c>
      <c r="C375" s="24" t="s">
        <v>1254</v>
      </c>
      <c r="D375" s="31">
        <f t="shared" si="57"/>
        <v>1395351.75</v>
      </c>
      <c r="E375" s="31">
        <v>170842.96</v>
      </c>
      <c r="F375" s="31">
        <v>0</v>
      </c>
      <c r="G375" s="31">
        <v>990961.93</v>
      </c>
      <c r="H375" s="31">
        <v>212925.9</v>
      </c>
      <c r="I375" s="31">
        <v>0</v>
      </c>
      <c r="J375" s="31">
        <v>0</v>
      </c>
      <c r="K375" s="33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f>ROUND((E375+F375+G375+H375+I375+J375)*1.5%,2)</f>
        <v>20620.96</v>
      </c>
      <c r="AD375" s="31">
        <v>0</v>
      </c>
      <c r="AE375" s="31">
        <v>0</v>
      </c>
      <c r="AF375" s="34" t="s">
        <v>274</v>
      </c>
      <c r="AG375" s="34">
        <v>2020</v>
      </c>
      <c r="AH375" s="35">
        <v>2020</v>
      </c>
      <c r="BZ375" s="71"/>
      <c r="CD375" s="20" t="e">
        <f t="shared" si="49"/>
        <v>#N/A</v>
      </c>
    </row>
    <row r="376" spans="1:82" ht="61.5" x14ac:dyDescent="0.85">
      <c r="A376" s="20">
        <v>1</v>
      </c>
      <c r="B376" s="66">
        <f>SUBTOTAL(103,$A$22:A376)</f>
        <v>333</v>
      </c>
      <c r="C376" s="24" t="s">
        <v>1255</v>
      </c>
      <c r="D376" s="31">
        <f t="shared" si="57"/>
        <v>5506257.7399999993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3">
        <v>0</v>
      </c>
      <c r="L376" s="31">
        <v>0</v>
      </c>
      <c r="M376" s="31">
        <v>1528.9</v>
      </c>
      <c r="N376" s="31">
        <v>5424884.4699999997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f>ROUND(N376*1.5%,2)</f>
        <v>81373.27</v>
      </c>
      <c r="AD376" s="31">
        <v>0</v>
      </c>
      <c r="AE376" s="31">
        <v>0</v>
      </c>
      <c r="AF376" s="34" t="s">
        <v>274</v>
      </c>
      <c r="AG376" s="34">
        <v>2020</v>
      </c>
      <c r="AH376" s="35">
        <v>2020</v>
      </c>
      <c r="BZ376" s="71"/>
      <c r="CD376" s="20">
        <f t="shared" si="49"/>
        <v>1528.9</v>
      </c>
    </row>
    <row r="377" spans="1:82" ht="61.5" x14ac:dyDescent="0.85">
      <c r="A377" s="20">
        <v>1</v>
      </c>
      <c r="B377" s="66">
        <f>SUBTOTAL(103,$A$22:A377)</f>
        <v>334</v>
      </c>
      <c r="C377" s="24" t="s">
        <v>1603</v>
      </c>
      <c r="D377" s="31">
        <f t="shared" si="57"/>
        <v>4498868.8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3">
        <v>0</v>
      </c>
      <c r="L377" s="31">
        <v>0</v>
      </c>
      <c r="M377" s="31">
        <v>870</v>
      </c>
      <c r="N377" s="31">
        <v>4328045.32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f>ROUND(N377*1.5%,2)</f>
        <v>64920.68</v>
      </c>
      <c r="AD377" s="31">
        <v>105902.8</v>
      </c>
      <c r="AE377" s="31">
        <v>0</v>
      </c>
      <c r="AF377" s="34">
        <v>2020</v>
      </c>
      <c r="AG377" s="34">
        <v>2020</v>
      </c>
      <c r="AH377" s="35">
        <v>2020</v>
      </c>
      <c r="BZ377" s="71"/>
      <c r="CD377" s="20">
        <f t="shared" si="49"/>
        <v>870</v>
      </c>
    </row>
    <row r="378" spans="1:82" ht="61.5" x14ac:dyDescent="0.85">
      <c r="A378" s="20">
        <v>1</v>
      </c>
      <c r="B378" s="66">
        <f>SUBTOTAL(103,$A$22:A378)</f>
        <v>335</v>
      </c>
      <c r="C378" s="177" t="s">
        <v>136</v>
      </c>
      <c r="D378" s="31">
        <f t="shared" si="57"/>
        <v>4978221.0999999996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3">
        <v>0</v>
      </c>
      <c r="L378" s="31">
        <v>0</v>
      </c>
      <c r="M378" s="31">
        <v>1229.9000000000001</v>
      </c>
      <c r="N378" s="31">
        <v>4904651.33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f>ROUND(N378*1.5%,2)</f>
        <v>73569.77</v>
      </c>
      <c r="AD378" s="31">
        <v>0</v>
      </c>
      <c r="AE378" s="31">
        <v>0</v>
      </c>
      <c r="AF378" s="34" t="s">
        <v>274</v>
      </c>
      <c r="AG378" s="34">
        <v>2020</v>
      </c>
      <c r="AH378" s="35">
        <v>2020</v>
      </c>
      <c r="BZ378" s="71"/>
      <c r="CD378" s="20">
        <f t="shared" si="49"/>
        <v>1229.9000000000001</v>
      </c>
    </row>
    <row r="379" spans="1:82" ht="61.5" x14ac:dyDescent="0.85">
      <c r="B379" s="24" t="s">
        <v>857</v>
      </c>
      <c r="C379" s="24"/>
      <c r="D379" s="31">
        <f>D380+D381</f>
        <v>2913286.51</v>
      </c>
      <c r="E379" s="31">
        <f t="shared" ref="E379:AE379" si="59">E380+E381</f>
        <v>120832.23</v>
      </c>
      <c r="F379" s="31">
        <f t="shared" si="59"/>
        <v>0</v>
      </c>
      <c r="G379" s="31">
        <f t="shared" si="59"/>
        <v>0</v>
      </c>
      <c r="H379" s="31">
        <f t="shared" si="59"/>
        <v>109660.45000000001</v>
      </c>
      <c r="I379" s="31">
        <f t="shared" si="59"/>
        <v>295538.62</v>
      </c>
      <c r="J379" s="31">
        <f t="shared" si="59"/>
        <v>0</v>
      </c>
      <c r="K379" s="33">
        <f t="shared" si="59"/>
        <v>0</v>
      </c>
      <c r="L379" s="31">
        <f t="shared" si="59"/>
        <v>0</v>
      </c>
      <c r="M379" s="31">
        <f t="shared" si="59"/>
        <v>541.1</v>
      </c>
      <c r="N379" s="31">
        <f t="shared" si="59"/>
        <v>2344240.58</v>
      </c>
      <c r="O379" s="31">
        <f t="shared" si="59"/>
        <v>0</v>
      </c>
      <c r="P379" s="31">
        <f t="shared" si="59"/>
        <v>0</v>
      </c>
      <c r="Q379" s="31">
        <f t="shared" si="59"/>
        <v>0</v>
      </c>
      <c r="R379" s="31">
        <f t="shared" si="59"/>
        <v>0</v>
      </c>
      <c r="S379" s="31">
        <f t="shared" si="59"/>
        <v>0</v>
      </c>
      <c r="T379" s="31">
        <f t="shared" si="59"/>
        <v>0</v>
      </c>
      <c r="U379" s="31">
        <f t="shared" si="59"/>
        <v>0</v>
      </c>
      <c r="V379" s="31">
        <f t="shared" si="59"/>
        <v>0</v>
      </c>
      <c r="W379" s="31">
        <f t="shared" si="59"/>
        <v>0</v>
      </c>
      <c r="X379" s="31">
        <f t="shared" si="59"/>
        <v>0</v>
      </c>
      <c r="Y379" s="31">
        <f t="shared" si="59"/>
        <v>0</v>
      </c>
      <c r="Z379" s="31">
        <f t="shared" si="59"/>
        <v>0</v>
      </c>
      <c r="AA379" s="31">
        <f t="shared" si="59"/>
        <v>0</v>
      </c>
      <c r="AB379" s="31">
        <f t="shared" si="59"/>
        <v>0</v>
      </c>
      <c r="AC379" s="31">
        <f t="shared" si="59"/>
        <v>43014.630000000005</v>
      </c>
      <c r="AD379" s="31">
        <f t="shared" si="59"/>
        <v>0</v>
      </c>
      <c r="AE379" s="31">
        <f t="shared" si="59"/>
        <v>0</v>
      </c>
      <c r="AF379" s="72" t="s">
        <v>776</v>
      </c>
      <c r="AG379" s="72" t="s">
        <v>776</v>
      </c>
      <c r="AH379" s="88" t="s">
        <v>776</v>
      </c>
      <c r="AT379" s="20" t="e">
        <f>VLOOKUP(C379,AW:AX,2,FALSE)</f>
        <v>#N/A</v>
      </c>
      <c r="BZ379" s="31">
        <v>2913286.51</v>
      </c>
      <c r="CA379" s="31"/>
      <c r="CB379" s="31">
        <f>BZ379-D379</f>
        <v>0</v>
      </c>
      <c r="CD379" s="20" t="e">
        <f t="shared" si="49"/>
        <v>#N/A</v>
      </c>
    </row>
    <row r="380" spans="1:82" ht="61.5" x14ac:dyDescent="0.85">
      <c r="A380" s="20">
        <v>1</v>
      </c>
      <c r="B380" s="66">
        <f>SUBTOTAL(103,$A$22:A380)</f>
        <v>336</v>
      </c>
      <c r="C380" s="24" t="s">
        <v>121</v>
      </c>
      <c r="D380" s="31">
        <f>E380+F380+G380+H380+I380+J380+L380+N380+P380+R380+T380+U380+V380+W380+X380+Y380+Z380+AA380+AB380+AC380+AD380+AE380</f>
        <v>2379404.19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3">
        <v>0</v>
      </c>
      <c r="L380" s="31">
        <v>0</v>
      </c>
      <c r="M380" s="31">
        <v>541.1</v>
      </c>
      <c r="N380" s="31">
        <v>2344240.58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f>ROUND(N380*1.5%,2)</f>
        <v>35163.61</v>
      </c>
      <c r="AD380" s="31">
        <v>0</v>
      </c>
      <c r="AE380" s="31">
        <v>0</v>
      </c>
      <c r="AF380" s="34" t="s">
        <v>274</v>
      </c>
      <c r="AG380" s="34">
        <v>2020</v>
      </c>
      <c r="AH380" s="35">
        <v>2020</v>
      </c>
      <c r="AT380" s="20" t="e">
        <f>VLOOKUP(C380,AW:AX,2,FALSE)</f>
        <v>#N/A</v>
      </c>
      <c r="BZ380" s="71"/>
      <c r="CD380" s="20">
        <f t="shared" si="49"/>
        <v>541.1</v>
      </c>
    </row>
    <row r="381" spans="1:82" ht="61.5" x14ac:dyDescent="0.85">
      <c r="A381" s="20">
        <v>1</v>
      </c>
      <c r="B381" s="66">
        <f>SUBTOTAL(103,$A$22:A381)</f>
        <v>337</v>
      </c>
      <c r="C381" s="24" t="s">
        <v>1256</v>
      </c>
      <c r="D381" s="31">
        <f>E381+F381+G381+H381+I381+J381+L381+N381+P381+R381+T381+U381+V381+W381+X381+Y381+Z381+AA381+AB381+AC381+AD381+AE381</f>
        <v>533882.32000000007</v>
      </c>
      <c r="E381" s="31">
        <v>120832.23</v>
      </c>
      <c r="F381" s="31">
        <v>0</v>
      </c>
      <c r="G381" s="31">
        <v>0</v>
      </c>
      <c r="H381" s="31">
        <f>47331.59+62324.26+4.6</f>
        <v>109660.45000000001</v>
      </c>
      <c r="I381" s="31">
        <v>295538.62</v>
      </c>
      <c r="J381" s="31">
        <v>0</v>
      </c>
      <c r="K381" s="33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f>ROUND((E381+F381+G381+H381+I381+J381)*1.4925%,2)</f>
        <v>7851.02</v>
      </c>
      <c r="AD381" s="31">
        <v>0</v>
      </c>
      <c r="AE381" s="31">
        <v>0</v>
      </c>
      <c r="AF381" s="34" t="s">
        <v>274</v>
      </c>
      <c r="AG381" s="34">
        <v>2020</v>
      </c>
      <c r="AH381" s="35">
        <v>2020</v>
      </c>
      <c r="BZ381" s="71"/>
      <c r="CD381" s="20" t="e">
        <f t="shared" si="49"/>
        <v>#N/A</v>
      </c>
    </row>
    <row r="382" spans="1:82" ht="61.5" x14ac:dyDescent="0.85">
      <c r="B382" s="24" t="s">
        <v>916</v>
      </c>
      <c r="C382" s="24"/>
      <c r="D382" s="31">
        <f t="shared" ref="D382:AE382" si="60">D383</f>
        <v>2727875.44</v>
      </c>
      <c r="E382" s="31">
        <f t="shared" si="60"/>
        <v>0</v>
      </c>
      <c r="F382" s="31">
        <f t="shared" si="60"/>
        <v>0</v>
      </c>
      <c r="G382" s="31">
        <f t="shared" si="60"/>
        <v>0</v>
      </c>
      <c r="H382" s="31">
        <f t="shared" si="60"/>
        <v>0</v>
      </c>
      <c r="I382" s="31">
        <f t="shared" si="60"/>
        <v>0</v>
      </c>
      <c r="J382" s="31">
        <f t="shared" si="60"/>
        <v>0</v>
      </c>
      <c r="K382" s="33">
        <f t="shared" si="60"/>
        <v>0</v>
      </c>
      <c r="L382" s="31">
        <f t="shared" si="60"/>
        <v>0</v>
      </c>
      <c r="M382" s="31">
        <f t="shared" si="60"/>
        <v>313.10000000000002</v>
      </c>
      <c r="N382" s="31">
        <f t="shared" si="60"/>
        <v>1467770.01</v>
      </c>
      <c r="O382" s="31">
        <f t="shared" si="60"/>
        <v>0</v>
      </c>
      <c r="P382" s="31">
        <f t="shared" si="60"/>
        <v>0</v>
      </c>
      <c r="Q382" s="31">
        <f t="shared" si="60"/>
        <v>400.6</v>
      </c>
      <c r="R382" s="31">
        <f t="shared" si="60"/>
        <v>1219792</v>
      </c>
      <c r="S382" s="31">
        <f t="shared" si="60"/>
        <v>0</v>
      </c>
      <c r="T382" s="31">
        <f t="shared" si="60"/>
        <v>0</v>
      </c>
      <c r="U382" s="31">
        <f t="shared" si="60"/>
        <v>0</v>
      </c>
      <c r="V382" s="31">
        <f t="shared" si="60"/>
        <v>0</v>
      </c>
      <c r="W382" s="31">
        <f t="shared" si="60"/>
        <v>0</v>
      </c>
      <c r="X382" s="31">
        <f t="shared" si="60"/>
        <v>0</v>
      </c>
      <c r="Y382" s="31">
        <f t="shared" si="60"/>
        <v>0</v>
      </c>
      <c r="Z382" s="31">
        <f t="shared" si="60"/>
        <v>0</v>
      </c>
      <c r="AA382" s="31">
        <f t="shared" si="60"/>
        <v>0</v>
      </c>
      <c r="AB382" s="31">
        <f t="shared" si="60"/>
        <v>0</v>
      </c>
      <c r="AC382" s="31">
        <f t="shared" si="60"/>
        <v>40313.43</v>
      </c>
      <c r="AD382" s="31">
        <f t="shared" si="60"/>
        <v>0</v>
      </c>
      <c r="AE382" s="31">
        <f t="shared" si="60"/>
        <v>0</v>
      </c>
      <c r="AF382" s="72" t="s">
        <v>776</v>
      </c>
      <c r="AG382" s="72" t="s">
        <v>776</v>
      </c>
      <c r="AH382" s="88" t="s">
        <v>776</v>
      </c>
      <c r="AT382" s="20" t="e">
        <f t="shared" ref="AT382:AT389" si="61">VLOOKUP(C382,AW:AX,2,FALSE)</f>
        <v>#N/A</v>
      </c>
      <c r="BZ382" s="71">
        <v>2727875.44</v>
      </c>
      <c r="CD382" s="20" t="e">
        <f t="shared" si="49"/>
        <v>#N/A</v>
      </c>
    </row>
    <row r="383" spans="1:82" ht="61.5" x14ac:dyDescent="0.85">
      <c r="A383" s="20">
        <v>1</v>
      </c>
      <c r="B383" s="66">
        <f>SUBTOTAL(103,$A$22:A383)</f>
        <v>338</v>
      </c>
      <c r="C383" s="24" t="s">
        <v>122</v>
      </c>
      <c r="D383" s="31">
        <f>E383+F383+G383+H383+I383+J383+L383+N383+P383+R383+T383+U383+V383+W383+X383+Y383+Z383+AA383+AB383+AC383+AD383+AE383</f>
        <v>2727875.44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3">
        <v>0</v>
      </c>
      <c r="L383" s="31">
        <v>0</v>
      </c>
      <c r="M383" s="31">
        <v>313.10000000000002</v>
      </c>
      <c r="N383" s="31">
        <f>1339691.19+128078.82</f>
        <v>1467770.01</v>
      </c>
      <c r="O383" s="31">
        <v>0</v>
      </c>
      <c r="P383" s="31">
        <v>0</v>
      </c>
      <c r="Q383" s="31">
        <v>400.6</v>
      </c>
      <c r="R383" s="31">
        <v>1219792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f>ROUND((N383+R383)*1.5%,2)</f>
        <v>40313.43</v>
      </c>
      <c r="AD383" s="31">
        <v>0</v>
      </c>
      <c r="AE383" s="31">
        <v>0</v>
      </c>
      <c r="AF383" s="34" t="s">
        <v>274</v>
      </c>
      <c r="AG383" s="34">
        <v>2020</v>
      </c>
      <c r="AH383" s="35">
        <v>2020</v>
      </c>
      <c r="AT383" s="20" t="e">
        <f t="shared" si="61"/>
        <v>#N/A</v>
      </c>
      <c r="BZ383" s="71"/>
      <c r="CD383" s="20">
        <f t="shared" si="49"/>
        <v>313.10000000000002</v>
      </c>
    </row>
    <row r="384" spans="1:82" ht="61.5" x14ac:dyDescent="0.85">
      <c r="B384" s="24" t="s">
        <v>858</v>
      </c>
      <c r="C384" s="24"/>
      <c r="D384" s="31">
        <f t="shared" ref="D384:AE384" si="62">D385</f>
        <v>3866903.76</v>
      </c>
      <c r="E384" s="31">
        <f t="shared" si="62"/>
        <v>0</v>
      </c>
      <c r="F384" s="31">
        <f t="shared" si="62"/>
        <v>0</v>
      </c>
      <c r="G384" s="31">
        <f t="shared" si="62"/>
        <v>0</v>
      </c>
      <c r="H384" s="31">
        <f t="shared" si="62"/>
        <v>0</v>
      </c>
      <c r="I384" s="31">
        <f t="shared" si="62"/>
        <v>0</v>
      </c>
      <c r="J384" s="31">
        <f t="shared" si="62"/>
        <v>0</v>
      </c>
      <c r="K384" s="33">
        <f t="shared" si="62"/>
        <v>0</v>
      </c>
      <c r="L384" s="31">
        <f t="shared" si="62"/>
        <v>0</v>
      </c>
      <c r="M384" s="31">
        <f t="shared" si="62"/>
        <v>681.29</v>
      </c>
      <c r="N384" s="31">
        <f t="shared" si="62"/>
        <v>3733379.1599999997</v>
      </c>
      <c r="O384" s="31">
        <f t="shared" si="62"/>
        <v>0</v>
      </c>
      <c r="P384" s="31">
        <f t="shared" si="62"/>
        <v>0</v>
      </c>
      <c r="Q384" s="31">
        <f t="shared" si="62"/>
        <v>0</v>
      </c>
      <c r="R384" s="31">
        <f t="shared" si="62"/>
        <v>0</v>
      </c>
      <c r="S384" s="31">
        <f t="shared" si="62"/>
        <v>0</v>
      </c>
      <c r="T384" s="31">
        <f t="shared" si="62"/>
        <v>0</v>
      </c>
      <c r="U384" s="31">
        <f t="shared" si="62"/>
        <v>0</v>
      </c>
      <c r="V384" s="31">
        <f t="shared" si="62"/>
        <v>0</v>
      </c>
      <c r="W384" s="31">
        <f t="shared" si="62"/>
        <v>0</v>
      </c>
      <c r="X384" s="31">
        <f t="shared" si="62"/>
        <v>0</v>
      </c>
      <c r="Y384" s="31">
        <f t="shared" si="62"/>
        <v>0</v>
      </c>
      <c r="Z384" s="31">
        <f t="shared" si="62"/>
        <v>0</v>
      </c>
      <c r="AA384" s="31">
        <f t="shared" si="62"/>
        <v>0</v>
      </c>
      <c r="AB384" s="31">
        <f t="shared" si="62"/>
        <v>0</v>
      </c>
      <c r="AC384" s="31">
        <f t="shared" si="62"/>
        <v>56000.69</v>
      </c>
      <c r="AD384" s="31">
        <f t="shared" si="62"/>
        <v>77523.91</v>
      </c>
      <c r="AE384" s="31">
        <f t="shared" si="62"/>
        <v>0</v>
      </c>
      <c r="AF384" s="72" t="s">
        <v>776</v>
      </c>
      <c r="AG384" s="72" t="s">
        <v>776</v>
      </c>
      <c r="AH384" s="88" t="s">
        <v>776</v>
      </c>
      <c r="AT384" s="20" t="e">
        <f t="shared" si="61"/>
        <v>#N/A</v>
      </c>
      <c r="BZ384" s="71">
        <v>3866903.76</v>
      </c>
      <c r="CD384" s="20" t="e">
        <f t="shared" si="49"/>
        <v>#N/A</v>
      </c>
    </row>
    <row r="385" spans="1:82" ht="61.5" x14ac:dyDescent="0.85">
      <c r="A385" s="20">
        <v>1</v>
      </c>
      <c r="B385" s="66">
        <f>SUBTOTAL(103,$A$22:A385)</f>
        <v>339</v>
      </c>
      <c r="C385" s="24" t="s">
        <v>123</v>
      </c>
      <c r="D385" s="31">
        <f>E385+F385+G385+H385+I385+J385+L385+N385+P385+R385+T385+U385+V385+W385+X385+Y385+Z385+AA385+AB385+AC385+AD385+AE385</f>
        <v>3866903.76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3">
        <v>0</v>
      </c>
      <c r="L385" s="31">
        <v>0</v>
      </c>
      <c r="M385" s="31">
        <v>681.29</v>
      </c>
      <c r="N385" s="31">
        <f>3208325.12+446311.01+7338.02+71405.01</f>
        <v>3733379.1599999997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f>ROUND(N385*1.5%,2)</f>
        <v>56000.69</v>
      </c>
      <c r="AD385" s="31">
        <v>77523.91</v>
      </c>
      <c r="AE385" s="31">
        <v>0</v>
      </c>
      <c r="AF385" s="34">
        <v>2020</v>
      </c>
      <c r="AG385" s="34">
        <v>2020</v>
      </c>
      <c r="AH385" s="35">
        <v>2020</v>
      </c>
      <c r="AT385" s="20" t="e">
        <f t="shared" si="61"/>
        <v>#N/A</v>
      </c>
      <c r="BZ385" s="71"/>
      <c r="CD385" s="20" t="e">
        <f t="shared" si="49"/>
        <v>#N/A</v>
      </c>
    </row>
    <row r="386" spans="1:82" ht="61.5" x14ac:dyDescent="0.85">
      <c r="B386" s="24" t="s">
        <v>859</v>
      </c>
      <c r="C386" s="129"/>
      <c r="D386" s="31">
        <f>SUM(D387:D390)</f>
        <v>11324422.879999999</v>
      </c>
      <c r="E386" s="31">
        <f t="shared" ref="E386:AE386" si="63">SUM(E387:E390)</f>
        <v>0</v>
      </c>
      <c r="F386" s="31">
        <f t="shared" si="63"/>
        <v>0</v>
      </c>
      <c r="G386" s="31">
        <f t="shared" si="63"/>
        <v>0</v>
      </c>
      <c r="H386" s="31">
        <f t="shared" si="63"/>
        <v>0</v>
      </c>
      <c r="I386" s="31">
        <f t="shared" si="63"/>
        <v>0</v>
      </c>
      <c r="J386" s="31">
        <f t="shared" si="63"/>
        <v>0</v>
      </c>
      <c r="K386" s="33">
        <f t="shared" si="63"/>
        <v>0</v>
      </c>
      <c r="L386" s="31">
        <f t="shared" si="63"/>
        <v>0</v>
      </c>
      <c r="M386" s="31">
        <f t="shared" si="63"/>
        <v>850.3</v>
      </c>
      <c r="N386" s="31">
        <f t="shared" si="63"/>
        <v>3502752.9899999998</v>
      </c>
      <c r="O386" s="31">
        <f t="shared" si="63"/>
        <v>0</v>
      </c>
      <c r="P386" s="31">
        <f t="shared" si="63"/>
        <v>0</v>
      </c>
      <c r="Q386" s="31">
        <f t="shared" si="63"/>
        <v>568.86</v>
      </c>
      <c r="R386" s="31">
        <f t="shared" si="63"/>
        <v>2804299.36</v>
      </c>
      <c r="S386" s="31">
        <f t="shared" si="63"/>
        <v>0</v>
      </c>
      <c r="T386" s="31">
        <f t="shared" si="63"/>
        <v>0</v>
      </c>
      <c r="U386" s="31">
        <f t="shared" si="63"/>
        <v>4680933.95</v>
      </c>
      <c r="V386" s="31">
        <f t="shared" si="63"/>
        <v>0</v>
      </c>
      <c r="W386" s="31">
        <f t="shared" si="63"/>
        <v>0</v>
      </c>
      <c r="X386" s="31">
        <f t="shared" si="63"/>
        <v>0</v>
      </c>
      <c r="Y386" s="31">
        <f t="shared" si="63"/>
        <v>0</v>
      </c>
      <c r="Z386" s="31">
        <f t="shared" si="63"/>
        <v>0</v>
      </c>
      <c r="AA386" s="31">
        <f t="shared" si="63"/>
        <v>0</v>
      </c>
      <c r="AB386" s="31">
        <f t="shared" si="63"/>
        <v>0</v>
      </c>
      <c r="AC386" s="31">
        <f t="shared" si="63"/>
        <v>164819.79</v>
      </c>
      <c r="AD386" s="31">
        <f t="shared" si="63"/>
        <v>171616.79</v>
      </c>
      <c r="AE386" s="31">
        <f t="shared" si="63"/>
        <v>0</v>
      </c>
      <c r="AF386" s="72" t="s">
        <v>776</v>
      </c>
      <c r="AG386" s="72" t="s">
        <v>776</v>
      </c>
      <c r="AH386" s="88" t="s">
        <v>776</v>
      </c>
      <c r="AT386" s="20" t="e">
        <f t="shared" si="61"/>
        <v>#N/A</v>
      </c>
      <c r="BZ386" s="71">
        <v>11389569.279999999</v>
      </c>
      <c r="CC386" s="31">
        <v>10475726.369999999</v>
      </c>
      <c r="CD386" s="20" t="e">
        <f t="shared" si="49"/>
        <v>#N/A</v>
      </c>
    </row>
    <row r="387" spans="1:82" ht="61.5" x14ac:dyDescent="0.85">
      <c r="A387" s="20">
        <v>1</v>
      </c>
      <c r="B387" s="66">
        <f>SUBTOTAL(103,$A$22:A387)</f>
        <v>340</v>
      </c>
      <c r="C387" s="24" t="s">
        <v>174</v>
      </c>
      <c r="D387" s="31">
        <f>E387+F387+G387+H387+I387+J387+L387+N387+P387+R387+T387+U387+V387+W387+X387+Y387+Z387+AA387+AB387+AC387+AD387+AE387</f>
        <v>2356525.59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3">
        <v>0</v>
      </c>
      <c r="L387" s="31">
        <v>0</v>
      </c>
      <c r="M387" s="31">
        <v>678.3</v>
      </c>
      <c r="N387" s="31">
        <v>2321700.09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f>ROUND(N387*1.5%,2)</f>
        <v>34825.5</v>
      </c>
      <c r="AD387" s="31">
        <v>0</v>
      </c>
      <c r="AE387" s="31">
        <v>0</v>
      </c>
      <c r="AF387" s="34" t="s">
        <v>274</v>
      </c>
      <c r="AG387" s="34">
        <v>2020</v>
      </c>
      <c r="AH387" s="35">
        <v>2020</v>
      </c>
      <c r="AT387" s="20" t="e">
        <f t="shared" si="61"/>
        <v>#N/A</v>
      </c>
      <c r="BZ387" s="71"/>
      <c r="CD387" s="20">
        <f t="shared" si="49"/>
        <v>678.3</v>
      </c>
    </row>
    <row r="388" spans="1:82" ht="61.5" x14ac:dyDescent="0.85">
      <c r="A388" s="20">
        <v>1</v>
      </c>
      <c r="B388" s="66">
        <f>SUBTOTAL(103,$A$22:A388)</f>
        <v>341</v>
      </c>
      <c r="C388" s="24" t="s">
        <v>175</v>
      </c>
      <c r="D388" s="31">
        <f>E388+F388+G388+H388+I388+J388+L388+N388+P388+R388+T388+U388+V388+W388+X388+Y388+Z388+AA388+AB388+AC388+AD388+AE388</f>
        <v>2846363.85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3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568.86</v>
      </c>
      <c r="R388" s="31">
        <f>2465520.05+9042.79+329736.52</f>
        <v>2804299.36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f>ROUND(R388*1.5%,2)</f>
        <v>42064.49</v>
      </c>
      <c r="AD388" s="31">
        <v>0</v>
      </c>
      <c r="AE388" s="31">
        <v>0</v>
      </c>
      <c r="AF388" s="34" t="s">
        <v>274</v>
      </c>
      <c r="AG388" s="34">
        <v>2020</v>
      </c>
      <c r="AH388" s="35">
        <v>2020</v>
      </c>
      <c r="AT388" s="20" t="e">
        <f t="shared" si="61"/>
        <v>#N/A</v>
      </c>
      <c r="BZ388" s="71"/>
      <c r="CD388" s="20" t="e">
        <f t="shared" si="49"/>
        <v>#N/A</v>
      </c>
    </row>
    <row r="389" spans="1:82" ht="61.5" x14ac:dyDescent="0.85">
      <c r="A389" s="20">
        <v>1</v>
      </c>
      <c r="B389" s="66">
        <f>SUBTOTAL(103,$A$22:A389)</f>
        <v>342</v>
      </c>
      <c r="C389" s="24" t="s">
        <v>173</v>
      </c>
      <c r="D389" s="31">
        <f>E389+F389+G389+H389+I389+J389+L389+N389+P389+R389+T389+U389+V389+W389+X389+Y389+Z389+AA389+AB389+AC389+AD389+AE389</f>
        <v>4867698.0199999996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3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>
        <f>4178507.88-47969.83+550395.9</f>
        <v>4680933.95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f>ROUND(U389*1.5%,2)</f>
        <v>70214.009999999995</v>
      </c>
      <c r="AD389" s="31">
        <v>116550.06</v>
      </c>
      <c r="AE389" s="31">
        <v>0</v>
      </c>
      <c r="AF389" s="34">
        <v>2020</v>
      </c>
      <c r="AG389" s="34">
        <v>2020</v>
      </c>
      <c r="AH389" s="35">
        <v>2020</v>
      </c>
      <c r="AT389" s="20" t="e">
        <f t="shared" si="61"/>
        <v>#N/A</v>
      </c>
      <c r="BZ389" s="71"/>
      <c r="CD389" s="20" t="e">
        <f t="shared" si="49"/>
        <v>#N/A</v>
      </c>
    </row>
    <row r="390" spans="1:82" ht="61.5" x14ac:dyDescent="0.85">
      <c r="A390" s="20">
        <v>1</v>
      </c>
      <c r="B390" s="66">
        <f>SUBTOTAL(103,$A$22:A390)</f>
        <v>343</v>
      </c>
      <c r="C390" s="24" t="s">
        <v>1618</v>
      </c>
      <c r="D390" s="31">
        <f>E390+F390+G390+H390+I390+J390+L390+N390+P390+R390+T390+U390+V390+W390+X390+Y390+Z390+AA390+AB390+AC390+AD390+AE390</f>
        <v>1253835.42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3">
        <v>0</v>
      </c>
      <c r="L390" s="31">
        <v>0</v>
      </c>
      <c r="M390" s="31">
        <v>172</v>
      </c>
      <c r="N390" s="31">
        <f>898149.6+144032.15+138871.15</f>
        <v>1181052.8999999999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f>ROUND(N390*1.5%,2)</f>
        <v>17715.79</v>
      </c>
      <c r="AD390" s="31">
        <v>55066.73</v>
      </c>
      <c r="AE390" s="31">
        <v>0</v>
      </c>
      <c r="AF390" s="34">
        <v>2020</v>
      </c>
      <c r="AG390" s="34">
        <v>2020</v>
      </c>
      <c r="AH390" s="35">
        <v>2020</v>
      </c>
      <c r="BZ390" s="71"/>
      <c r="CD390" s="20" t="e">
        <f t="shared" si="49"/>
        <v>#N/A</v>
      </c>
    </row>
    <row r="391" spans="1:82" ht="61.5" x14ac:dyDescent="0.85">
      <c r="B391" s="24" t="s">
        <v>860</v>
      </c>
      <c r="C391" s="24"/>
      <c r="D391" s="31">
        <f>SUM(D392:D393)</f>
        <v>4615005.4700000007</v>
      </c>
      <c r="E391" s="31">
        <f t="shared" ref="E391:AE391" si="64">SUM(E392:E393)</f>
        <v>169822.4</v>
      </c>
      <c r="F391" s="31">
        <f t="shared" si="64"/>
        <v>0</v>
      </c>
      <c r="G391" s="31">
        <f t="shared" si="64"/>
        <v>1632000</v>
      </c>
      <c r="H391" s="31">
        <f t="shared" si="64"/>
        <v>200000</v>
      </c>
      <c r="I391" s="31">
        <f t="shared" si="64"/>
        <v>268959.81</v>
      </c>
      <c r="J391" s="31">
        <f t="shared" si="64"/>
        <v>0</v>
      </c>
      <c r="K391" s="33">
        <f t="shared" si="64"/>
        <v>0</v>
      </c>
      <c r="L391" s="31">
        <f t="shared" si="64"/>
        <v>0</v>
      </c>
      <c r="M391" s="31">
        <f t="shared" si="64"/>
        <v>412.82</v>
      </c>
      <c r="N391" s="31">
        <f t="shared" si="64"/>
        <v>2232562.8400000003</v>
      </c>
      <c r="O391" s="31">
        <f t="shared" si="64"/>
        <v>0</v>
      </c>
      <c r="P391" s="31">
        <f t="shared" si="64"/>
        <v>0</v>
      </c>
      <c r="Q391" s="31">
        <f t="shared" si="64"/>
        <v>0</v>
      </c>
      <c r="R391" s="31">
        <f t="shared" si="64"/>
        <v>0</v>
      </c>
      <c r="S391" s="31">
        <f t="shared" si="64"/>
        <v>0</v>
      </c>
      <c r="T391" s="31">
        <f t="shared" si="64"/>
        <v>0</v>
      </c>
      <c r="U391" s="31">
        <f t="shared" si="64"/>
        <v>0</v>
      </c>
      <c r="V391" s="31">
        <f t="shared" si="64"/>
        <v>0</v>
      </c>
      <c r="W391" s="31">
        <f t="shared" si="64"/>
        <v>0</v>
      </c>
      <c r="X391" s="31">
        <f t="shared" si="64"/>
        <v>0</v>
      </c>
      <c r="Y391" s="31">
        <f t="shared" si="64"/>
        <v>0</v>
      </c>
      <c r="Z391" s="31">
        <f t="shared" si="64"/>
        <v>0</v>
      </c>
      <c r="AA391" s="31">
        <f t="shared" si="64"/>
        <v>0</v>
      </c>
      <c r="AB391" s="31">
        <f t="shared" si="64"/>
        <v>0</v>
      </c>
      <c r="AC391" s="31">
        <f t="shared" si="64"/>
        <v>67550.170000000013</v>
      </c>
      <c r="AD391" s="31">
        <f t="shared" si="64"/>
        <v>44110.25</v>
      </c>
      <c r="AE391" s="31">
        <f t="shared" si="64"/>
        <v>0</v>
      </c>
      <c r="AF391" s="72" t="s">
        <v>776</v>
      </c>
      <c r="AG391" s="72" t="s">
        <v>776</v>
      </c>
      <c r="AH391" s="88" t="s">
        <v>776</v>
      </c>
      <c r="AT391" s="20" t="e">
        <f>VLOOKUP(C391,AW:AX,2,FALSE)</f>
        <v>#N/A</v>
      </c>
      <c r="BZ391" s="71">
        <v>4635021.79</v>
      </c>
      <c r="CC391" s="31">
        <v>3960937.4299999997</v>
      </c>
      <c r="CD391" s="20" t="e">
        <f t="shared" si="49"/>
        <v>#N/A</v>
      </c>
    </row>
    <row r="392" spans="1:82" ht="61.5" x14ac:dyDescent="0.85">
      <c r="A392" s="20">
        <v>1</v>
      </c>
      <c r="B392" s="66">
        <f>SUBTOTAL(103,$A$22:A392)</f>
        <v>344</v>
      </c>
      <c r="C392" s="24" t="s">
        <v>172</v>
      </c>
      <c r="D392" s="31">
        <f>E392+F392+G392+H392+I392+J392+L392+N392+P392+R392+T392+U392+V392+W392+X392+Y392+Z392+AA392+AB392+AC392+AD392+AE392</f>
        <v>2310161.5300000003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3">
        <v>0</v>
      </c>
      <c r="L392" s="31">
        <v>0</v>
      </c>
      <c r="M392" s="31">
        <v>412.82</v>
      </c>
      <c r="N392" s="31">
        <f>2177515.12+55047.72</f>
        <v>2232562.8400000003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f>ROUND(N392*1.5%,2)</f>
        <v>33488.44</v>
      </c>
      <c r="AD392" s="31">
        <v>44110.25</v>
      </c>
      <c r="AE392" s="31">
        <v>0</v>
      </c>
      <c r="AF392" s="34">
        <v>2020</v>
      </c>
      <c r="AG392" s="34">
        <v>2020</v>
      </c>
      <c r="AH392" s="35">
        <v>2020</v>
      </c>
      <c r="AT392" s="20" t="e">
        <f>VLOOKUP(C392,AW:AX,2,FALSE)</f>
        <v>#N/A</v>
      </c>
      <c r="BZ392" s="71"/>
      <c r="CD392" s="20">
        <f t="shared" si="49"/>
        <v>412.82</v>
      </c>
    </row>
    <row r="393" spans="1:82" ht="61.5" x14ac:dyDescent="0.85">
      <c r="A393" s="20">
        <v>1</v>
      </c>
      <c r="B393" s="66">
        <f>SUBTOTAL(103,$A$22:A393)</f>
        <v>345</v>
      </c>
      <c r="C393" s="24" t="s">
        <v>1259</v>
      </c>
      <c r="D393" s="31">
        <f>E393+F393+G393+H393+I393+J393+L393+N393+P393+R393+T393+U393+V393+W393+X393+Y393+Z393+AA393+AB393+AC393+AD393+AE393</f>
        <v>2304843.94</v>
      </c>
      <c r="E393" s="31">
        <v>169822.4</v>
      </c>
      <c r="F393" s="31">
        <v>0</v>
      </c>
      <c r="G393" s="31">
        <v>1632000</v>
      </c>
      <c r="H393" s="31">
        <v>200000</v>
      </c>
      <c r="I393" s="31">
        <v>268959.81</v>
      </c>
      <c r="J393" s="31">
        <v>0</v>
      </c>
      <c r="K393" s="33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f>ROUND((E393+F393+G393+H393+I393+J393)*1.5%,2)</f>
        <v>34061.730000000003</v>
      </c>
      <c r="AD393" s="31">
        <v>0</v>
      </c>
      <c r="AE393" s="31">
        <v>0</v>
      </c>
      <c r="AF393" s="34" t="s">
        <v>274</v>
      </c>
      <c r="AG393" s="34">
        <v>2020</v>
      </c>
      <c r="AH393" s="35">
        <v>2020</v>
      </c>
      <c r="BZ393" s="71"/>
      <c r="CD393" s="20" t="e">
        <f t="shared" si="49"/>
        <v>#N/A</v>
      </c>
    </row>
    <row r="394" spans="1:82" ht="61.5" x14ac:dyDescent="0.85">
      <c r="B394" s="24" t="s">
        <v>862</v>
      </c>
      <c r="C394" s="24"/>
      <c r="D394" s="31">
        <f>D395</f>
        <v>1491809.6800000002</v>
      </c>
      <c r="E394" s="31">
        <f t="shared" ref="E394:AE394" si="65">E395</f>
        <v>0</v>
      </c>
      <c r="F394" s="31">
        <f t="shared" si="65"/>
        <v>0</v>
      </c>
      <c r="G394" s="31">
        <f t="shared" si="65"/>
        <v>0</v>
      </c>
      <c r="H394" s="31">
        <f t="shared" si="65"/>
        <v>0</v>
      </c>
      <c r="I394" s="31">
        <f t="shared" si="65"/>
        <v>0</v>
      </c>
      <c r="J394" s="31">
        <f t="shared" si="65"/>
        <v>0</v>
      </c>
      <c r="K394" s="33">
        <f t="shared" si="65"/>
        <v>0</v>
      </c>
      <c r="L394" s="31">
        <f t="shared" si="65"/>
        <v>0</v>
      </c>
      <c r="M394" s="31">
        <f t="shared" si="65"/>
        <v>336.14</v>
      </c>
      <c r="N394" s="31">
        <f t="shared" si="65"/>
        <v>1426840.6300000001</v>
      </c>
      <c r="O394" s="31">
        <f t="shared" si="65"/>
        <v>0</v>
      </c>
      <c r="P394" s="31">
        <f t="shared" si="65"/>
        <v>0</v>
      </c>
      <c r="Q394" s="31">
        <f t="shared" si="65"/>
        <v>0</v>
      </c>
      <c r="R394" s="31">
        <f t="shared" si="65"/>
        <v>0</v>
      </c>
      <c r="S394" s="31">
        <f t="shared" si="65"/>
        <v>0</v>
      </c>
      <c r="T394" s="31">
        <f t="shared" si="65"/>
        <v>0</v>
      </c>
      <c r="U394" s="31">
        <f t="shared" si="65"/>
        <v>0</v>
      </c>
      <c r="V394" s="31">
        <f t="shared" si="65"/>
        <v>0</v>
      </c>
      <c r="W394" s="31">
        <f t="shared" si="65"/>
        <v>0</v>
      </c>
      <c r="X394" s="31">
        <f t="shared" si="65"/>
        <v>0</v>
      </c>
      <c r="Y394" s="31">
        <f t="shared" si="65"/>
        <v>0</v>
      </c>
      <c r="Z394" s="31">
        <f t="shared" si="65"/>
        <v>0</v>
      </c>
      <c r="AA394" s="31">
        <f t="shared" si="65"/>
        <v>0</v>
      </c>
      <c r="AB394" s="31">
        <f t="shared" si="65"/>
        <v>0</v>
      </c>
      <c r="AC394" s="31">
        <f t="shared" si="65"/>
        <v>21402.61</v>
      </c>
      <c r="AD394" s="31">
        <f t="shared" si="65"/>
        <v>43566.44</v>
      </c>
      <c r="AE394" s="31">
        <f t="shared" si="65"/>
        <v>0</v>
      </c>
      <c r="AF394" s="72" t="s">
        <v>776</v>
      </c>
      <c r="AG394" s="72" t="s">
        <v>776</v>
      </c>
      <c r="AH394" s="88" t="s">
        <v>776</v>
      </c>
      <c r="AT394" s="20" t="e">
        <f>VLOOKUP(C394,AW:AX,2,FALSE)</f>
        <v>#N/A</v>
      </c>
      <c r="BZ394" s="71">
        <v>1547699.36</v>
      </c>
      <c r="CD394" s="20" t="e">
        <f t="shared" si="49"/>
        <v>#N/A</v>
      </c>
    </row>
    <row r="395" spans="1:82" ht="61.5" x14ac:dyDescent="0.85">
      <c r="A395" s="20">
        <v>1</v>
      </c>
      <c r="B395" s="66">
        <f>SUBTOTAL(103,$A$22:A395)</f>
        <v>346</v>
      </c>
      <c r="C395" s="24" t="s">
        <v>171</v>
      </c>
      <c r="D395" s="31">
        <f>E395+F395+G395+H395+I395+J395+L395+N395+P395+R395+T395+U395+V395+W395+X395+Y395+Z395+AA395+AB395+AC395+AD395+AE395</f>
        <v>1491809.6800000002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3">
        <v>0</v>
      </c>
      <c r="L395" s="31">
        <v>0</v>
      </c>
      <c r="M395" s="31">
        <v>336.14</v>
      </c>
      <c r="N395" s="31">
        <f>1395449.26+11151.09+20240.28</f>
        <v>1426840.6300000001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f>ROUND(N395*1.5%,2)</f>
        <v>21402.61</v>
      </c>
      <c r="AD395" s="31">
        <v>43566.44</v>
      </c>
      <c r="AE395" s="31">
        <v>0</v>
      </c>
      <c r="AF395" s="34">
        <v>2020</v>
      </c>
      <c r="AG395" s="34">
        <v>2020</v>
      </c>
      <c r="AH395" s="35">
        <v>2020</v>
      </c>
      <c r="AT395" s="20" t="e">
        <f>VLOOKUP(C395,AW:AX,2,FALSE)</f>
        <v>#N/A</v>
      </c>
      <c r="BZ395" s="71"/>
      <c r="CD395" s="20">
        <f t="shared" si="49"/>
        <v>336.14</v>
      </c>
    </row>
    <row r="396" spans="1:82" ht="61.5" x14ac:dyDescent="0.85">
      <c r="B396" s="24" t="s">
        <v>861</v>
      </c>
      <c r="C396" s="24"/>
      <c r="D396" s="31">
        <f>SUM(D397:D400)</f>
        <v>7263579.6500000004</v>
      </c>
      <c r="E396" s="31">
        <f t="shared" ref="E396:AE396" si="66">SUM(E397:E400)</f>
        <v>0</v>
      </c>
      <c r="F396" s="31">
        <f t="shared" si="66"/>
        <v>0</v>
      </c>
      <c r="G396" s="31">
        <f t="shared" si="66"/>
        <v>0</v>
      </c>
      <c r="H396" s="31">
        <f t="shared" si="66"/>
        <v>0</v>
      </c>
      <c r="I396" s="31">
        <f t="shared" si="66"/>
        <v>0</v>
      </c>
      <c r="J396" s="31">
        <f t="shared" si="66"/>
        <v>0</v>
      </c>
      <c r="K396" s="33">
        <f t="shared" si="66"/>
        <v>0</v>
      </c>
      <c r="L396" s="31">
        <f t="shared" si="66"/>
        <v>0</v>
      </c>
      <c r="M396" s="31">
        <f t="shared" si="66"/>
        <v>542.66</v>
      </c>
      <c r="N396" s="31">
        <f t="shared" si="66"/>
        <v>2207932.36</v>
      </c>
      <c r="O396" s="31">
        <f t="shared" si="66"/>
        <v>0</v>
      </c>
      <c r="P396" s="31">
        <f t="shared" si="66"/>
        <v>0</v>
      </c>
      <c r="Q396" s="31">
        <f t="shared" si="66"/>
        <v>840.7</v>
      </c>
      <c r="R396" s="31">
        <f t="shared" si="66"/>
        <v>3360809.08</v>
      </c>
      <c r="S396" s="31">
        <f t="shared" si="66"/>
        <v>0</v>
      </c>
      <c r="T396" s="31">
        <f t="shared" si="66"/>
        <v>0</v>
      </c>
      <c r="U396" s="31">
        <f t="shared" si="66"/>
        <v>1400883.03</v>
      </c>
      <c r="V396" s="31">
        <f t="shared" si="66"/>
        <v>0</v>
      </c>
      <c r="W396" s="31">
        <f t="shared" si="66"/>
        <v>0</v>
      </c>
      <c r="X396" s="31">
        <f t="shared" si="66"/>
        <v>0</v>
      </c>
      <c r="Y396" s="31">
        <f t="shared" si="66"/>
        <v>0</v>
      </c>
      <c r="Z396" s="31">
        <f t="shared" si="66"/>
        <v>0</v>
      </c>
      <c r="AA396" s="31">
        <f t="shared" si="66"/>
        <v>0</v>
      </c>
      <c r="AB396" s="31">
        <f t="shared" si="66"/>
        <v>0</v>
      </c>
      <c r="AC396" s="31">
        <f t="shared" si="66"/>
        <v>104544.37</v>
      </c>
      <c r="AD396" s="31">
        <f t="shared" si="66"/>
        <v>189410.81</v>
      </c>
      <c r="AE396" s="31">
        <f t="shared" si="66"/>
        <v>0</v>
      </c>
      <c r="AF396" s="72" t="s">
        <v>776</v>
      </c>
      <c r="AG396" s="72" t="s">
        <v>776</v>
      </c>
      <c r="AH396" s="88" t="s">
        <v>776</v>
      </c>
      <c r="AT396" s="20" t="e">
        <f>VLOOKUP(C396,AW:AX,2,FALSE)</f>
        <v>#N/A</v>
      </c>
      <c r="BZ396" s="71">
        <v>7290181.6600000001</v>
      </c>
      <c r="CC396" s="31">
        <v>6271514.3100000005</v>
      </c>
      <c r="CD396" s="20" t="e">
        <f t="shared" si="49"/>
        <v>#N/A</v>
      </c>
    </row>
    <row r="397" spans="1:82" ht="61.5" x14ac:dyDescent="0.85">
      <c r="A397" s="20">
        <v>1</v>
      </c>
      <c r="B397" s="66">
        <f>SUBTOTAL(103,$A$22:A397)</f>
        <v>347</v>
      </c>
      <c r="C397" s="24" t="s">
        <v>186</v>
      </c>
      <c r="D397" s="31">
        <f>E397+F397+G397+H397+I397+J397+L397+N397+P397+R397+T397+U397+V397+W397+X397+Y397+Z397+AA397+AB397+AC397+AD397+AE397</f>
        <v>1659429.9100000001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3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403.2</v>
      </c>
      <c r="R397" s="31">
        <v>1546816.85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f>ROUND(R397*1.5%,2)</f>
        <v>23202.25</v>
      </c>
      <c r="AD397" s="31">
        <v>89410.81</v>
      </c>
      <c r="AE397" s="31">
        <v>0</v>
      </c>
      <c r="AF397" s="34">
        <v>2020</v>
      </c>
      <c r="AG397" s="34">
        <v>2020</v>
      </c>
      <c r="AH397" s="35">
        <v>2020</v>
      </c>
      <c r="AT397" s="20" t="e">
        <f>VLOOKUP(C397,AW:AX,2,FALSE)</f>
        <v>#N/A</v>
      </c>
      <c r="BZ397" s="71"/>
      <c r="CD397" s="20" t="e">
        <f t="shared" si="49"/>
        <v>#N/A</v>
      </c>
    </row>
    <row r="398" spans="1:82" ht="61.5" x14ac:dyDescent="0.85">
      <c r="A398" s="20">
        <v>1</v>
      </c>
      <c r="B398" s="66">
        <f>SUBTOTAL(103,$A$22:A398)</f>
        <v>348</v>
      </c>
      <c r="C398" s="24" t="s">
        <v>1257</v>
      </c>
      <c r="D398" s="31">
        <f>E398+F398+G398+H398+I398+J398+L398+N398+P398+R398+T398+U398+V398+W398+X398+Y398+Z398+AA398+AB398+AC398+AD398+AE398</f>
        <v>1841202.1099999999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3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437.5</v>
      </c>
      <c r="R398" s="31">
        <v>1813992.23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f>ROUND(R398*1.5%,2)</f>
        <v>27209.88</v>
      </c>
      <c r="AD398" s="31">
        <v>0</v>
      </c>
      <c r="AE398" s="31">
        <v>0</v>
      </c>
      <c r="AF398" s="34" t="s">
        <v>274</v>
      </c>
      <c r="AG398" s="34">
        <v>2020</v>
      </c>
      <c r="AH398" s="35">
        <v>2020</v>
      </c>
      <c r="BZ398" s="71"/>
      <c r="CD398" s="20" t="e">
        <f t="shared" si="49"/>
        <v>#N/A</v>
      </c>
    </row>
    <row r="399" spans="1:82" ht="61.5" x14ac:dyDescent="0.85">
      <c r="A399" s="20">
        <v>1</v>
      </c>
      <c r="B399" s="66">
        <f>SUBTOTAL(103,$A$22:A399)</f>
        <v>349</v>
      </c>
      <c r="C399" s="24" t="s">
        <v>1258</v>
      </c>
      <c r="D399" s="31">
        <f>E399+F399+G399+H399+I399+J399+L399+N399+P399+R399+T399+U399+V399+W399+X399+Y399+Z399+AA399+AB399+AC399+AD399+AE399</f>
        <v>2241051.35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3">
        <v>0</v>
      </c>
      <c r="L399" s="31">
        <v>0</v>
      </c>
      <c r="M399" s="31">
        <v>542.66</v>
      </c>
      <c r="N399" s="31">
        <v>2207932.36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f>ROUND(N399*1.5%,2)</f>
        <v>33118.99</v>
      </c>
      <c r="AD399" s="31">
        <v>0</v>
      </c>
      <c r="AE399" s="31">
        <v>0</v>
      </c>
      <c r="AF399" s="34" t="s">
        <v>274</v>
      </c>
      <c r="AG399" s="34">
        <v>2020</v>
      </c>
      <c r="AH399" s="35">
        <v>2020</v>
      </c>
      <c r="BZ399" s="71"/>
      <c r="CD399" s="20">
        <f t="shared" si="49"/>
        <v>542.66</v>
      </c>
    </row>
    <row r="400" spans="1:82" ht="61.5" x14ac:dyDescent="0.85">
      <c r="A400" s="20">
        <v>1</v>
      </c>
      <c r="B400" s="66">
        <f>SUBTOTAL(103,$A$22:A400)</f>
        <v>350</v>
      </c>
      <c r="C400" s="24" t="s">
        <v>1617</v>
      </c>
      <c r="D400" s="31">
        <f>E400+F400+G400+H400+I400+J400+L400+N400+P400+R400+T400+U400+V400+W400+X400+Y400+Z400+AA400+AB400+AC400+AD400+AE400</f>
        <v>1521896.28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3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f>1266000+134883.03</f>
        <v>1400883.03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f>ROUND(U400*1.5%,2)</f>
        <v>21013.25</v>
      </c>
      <c r="AD400" s="31">
        <v>100000</v>
      </c>
      <c r="AE400" s="31">
        <v>0</v>
      </c>
      <c r="AF400" s="34">
        <v>2020</v>
      </c>
      <c r="AG400" s="34">
        <v>2020</v>
      </c>
      <c r="AH400" s="35">
        <v>2020</v>
      </c>
      <c r="BZ400" s="71"/>
      <c r="CD400" s="20" t="e">
        <f t="shared" si="49"/>
        <v>#N/A</v>
      </c>
    </row>
    <row r="401" spans="1:82" ht="61.5" x14ac:dyDescent="0.85">
      <c r="B401" s="24" t="s">
        <v>896</v>
      </c>
      <c r="C401" s="24"/>
      <c r="D401" s="31">
        <f>D402</f>
        <v>3281480.1</v>
      </c>
      <c r="E401" s="31">
        <f t="shared" ref="E401:AE401" si="67">E402</f>
        <v>0</v>
      </c>
      <c r="F401" s="31">
        <f t="shared" si="67"/>
        <v>0</v>
      </c>
      <c r="G401" s="31">
        <f t="shared" si="67"/>
        <v>0</v>
      </c>
      <c r="H401" s="31">
        <f t="shared" si="67"/>
        <v>0</v>
      </c>
      <c r="I401" s="31">
        <f t="shared" si="67"/>
        <v>0</v>
      </c>
      <c r="J401" s="31">
        <f t="shared" si="67"/>
        <v>0</v>
      </c>
      <c r="K401" s="33">
        <f t="shared" si="67"/>
        <v>0</v>
      </c>
      <c r="L401" s="31">
        <f t="shared" si="67"/>
        <v>0</v>
      </c>
      <c r="M401" s="31">
        <f t="shared" si="67"/>
        <v>0</v>
      </c>
      <c r="N401" s="31">
        <f t="shared" si="67"/>
        <v>0</v>
      </c>
      <c r="O401" s="31">
        <f t="shared" si="67"/>
        <v>0</v>
      </c>
      <c r="P401" s="31">
        <f t="shared" si="67"/>
        <v>0</v>
      </c>
      <c r="Q401" s="31">
        <f t="shared" si="67"/>
        <v>702.56</v>
      </c>
      <c r="R401" s="31">
        <f t="shared" si="67"/>
        <v>3233224.23</v>
      </c>
      <c r="S401" s="31">
        <f t="shared" si="67"/>
        <v>0</v>
      </c>
      <c r="T401" s="31">
        <f t="shared" si="67"/>
        <v>0</v>
      </c>
      <c r="U401" s="31">
        <f t="shared" si="67"/>
        <v>0</v>
      </c>
      <c r="V401" s="31">
        <f t="shared" si="67"/>
        <v>0</v>
      </c>
      <c r="W401" s="31">
        <f t="shared" si="67"/>
        <v>0</v>
      </c>
      <c r="X401" s="31">
        <f t="shared" si="67"/>
        <v>0</v>
      </c>
      <c r="Y401" s="31">
        <f t="shared" si="67"/>
        <v>0</v>
      </c>
      <c r="Z401" s="31">
        <f t="shared" si="67"/>
        <v>0</v>
      </c>
      <c r="AA401" s="31">
        <f t="shared" si="67"/>
        <v>0</v>
      </c>
      <c r="AB401" s="31">
        <f t="shared" si="67"/>
        <v>0</v>
      </c>
      <c r="AC401" s="31">
        <f t="shared" si="67"/>
        <v>48255.87</v>
      </c>
      <c r="AD401" s="31">
        <f t="shared" si="67"/>
        <v>0</v>
      </c>
      <c r="AE401" s="31">
        <f t="shared" si="67"/>
        <v>0</v>
      </c>
      <c r="AF401" s="72" t="s">
        <v>776</v>
      </c>
      <c r="AG401" s="72" t="s">
        <v>776</v>
      </c>
      <c r="AH401" s="88" t="s">
        <v>776</v>
      </c>
      <c r="BZ401" s="71">
        <v>3230853.85</v>
      </c>
      <c r="CC401" s="31">
        <v>3334643.9899999998</v>
      </c>
      <c r="CD401" s="20" t="e">
        <f t="shared" si="49"/>
        <v>#N/A</v>
      </c>
    </row>
    <row r="402" spans="1:82" ht="61.5" x14ac:dyDescent="0.85">
      <c r="A402" s="20">
        <v>1</v>
      </c>
      <c r="B402" s="66">
        <f>SUBTOTAL(103,$A$22:A402)</f>
        <v>351</v>
      </c>
      <c r="C402" s="24" t="s">
        <v>1260</v>
      </c>
      <c r="D402" s="31">
        <f>E402+F402+G402+H402+I402+J402+L402+N402+P402+R402+T402+U402+V402+W402+X402+Y402+Z402+AA402+AB402+AC402+AD402+AE402</f>
        <v>3281480.1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3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702.56</v>
      </c>
      <c r="R402" s="31">
        <f>3183342.46+49878.08+3.69</f>
        <v>3233224.23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f>ROUND(R402*1.4925%,2)</f>
        <v>48255.87</v>
      </c>
      <c r="AD402" s="31">
        <v>0</v>
      </c>
      <c r="AE402" s="31">
        <v>0</v>
      </c>
      <c r="AF402" s="34" t="s">
        <v>274</v>
      </c>
      <c r="AG402" s="34">
        <v>2020</v>
      </c>
      <c r="AH402" s="35">
        <v>2020</v>
      </c>
      <c r="BZ402" s="71"/>
      <c r="CD402" s="20" t="e">
        <f t="shared" si="49"/>
        <v>#N/A</v>
      </c>
    </row>
    <row r="403" spans="1:82" ht="61.5" x14ac:dyDescent="0.85">
      <c r="B403" s="24" t="s">
        <v>863</v>
      </c>
      <c r="C403" s="129"/>
      <c r="D403" s="31">
        <f t="shared" ref="D403:AE403" si="68">SUM(D404:D408)</f>
        <v>18773024.589999996</v>
      </c>
      <c r="E403" s="31">
        <f t="shared" si="68"/>
        <v>0</v>
      </c>
      <c r="F403" s="31">
        <f t="shared" si="68"/>
        <v>0</v>
      </c>
      <c r="G403" s="31">
        <f t="shared" si="68"/>
        <v>0</v>
      </c>
      <c r="H403" s="31">
        <f t="shared" si="68"/>
        <v>0</v>
      </c>
      <c r="I403" s="31">
        <f t="shared" si="68"/>
        <v>0</v>
      </c>
      <c r="J403" s="31">
        <f t="shared" si="68"/>
        <v>0</v>
      </c>
      <c r="K403" s="33">
        <f t="shared" si="68"/>
        <v>0</v>
      </c>
      <c r="L403" s="31">
        <f t="shared" si="68"/>
        <v>0</v>
      </c>
      <c r="M403" s="31">
        <f t="shared" si="68"/>
        <v>3658.2</v>
      </c>
      <c r="N403" s="31">
        <f t="shared" si="68"/>
        <v>18075089.379999999</v>
      </c>
      <c r="O403" s="31">
        <f t="shared" si="68"/>
        <v>0</v>
      </c>
      <c r="P403" s="31">
        <f t="shared" si="68"/>
        <v>0</v>
      </c>
      <c r="Q403" s="31">
        <f t="shared" si="68"/>
        <v>0</v>
      </c>
      <c r="R403" s="31">
        <f t="shared" si="68"/>
        <v>0</v>
      </c>
      <c r="S403" s="31">
        <f t="shared" si="68"/>
        <v>0</v>
      </c>
      <c r="T403" s="31">
        <f t="shared" si="68"/>
        <v>0</v>
      </c>
      <c r="U403" s="31">
        <f t="shared" si="68"/>
        <v>0</v>
      </c>
      <c r="V403" s="31">
        <f t="shared" si="68"/>
        <v>0</v>
      </c>
      <c r="W403" s="31">
        <f t="shared" si="68"/>
        <v>0</v>
      </c>
      <c r="X403" s="31">
        <f t="shared" si="68"/>
        <v>0</v>
      </c>
      <c r="Y403" s="31">
        <f t="shared" si="68"/>
        <v>0</v>
      </c>
      <c r="Z403" s="31">
        <f t="shared" si="68"/>
        <v>0</v>
      </c>
      <c r="AA403" s="31">
        <f t="shared" si="68"/>
        <v>0</v>
      </c>
      <c r="AB403" s="31">
        <f t="shared" si="68"/>
        <v>0</v>
      </c>
      <c r="AC403" s="31">
        <f t="shared" si="68"/>
        <v>271126.34999999998</v>
      </c>
      <c r="AD403" s="31">
        <f t="shared" si="68"/>
        <v>426808.86</v>
      </c>
      <c r="AE403" s="31">
        <f t="shared" si="68"/>
        <v>0</v>
      </c>
      <c r="AF403" s="72" t="s">
        <v>776</v>
      </c>
      <c r="AG403" s="72" t="s">
        <v>776</v>
      </c>
      <c r="AH403" s="88" t="s">
        <v>776</v>
      </c>
      <c r="AT403" s="20" t="e">
        <f>VLOOKUP(C403,AW:AX,2,FALSE)</f>
        <v>#N/A</v>
      </c>
      <c r="BZ403" s="71">
        <v>22440468.149999999</v>
      </c>
      <c r="CD403" s="20" t="e">
        <f t="shared" si="49"/>
        <v>#N/A</v>
      </c>
    </row>
    <row r="404" spans="1:82" ht="61.5" x14ac:dyDescent="0.85">
      <c r="A404" s="20">
        <v>1</v>
      </c>
      <c r="B404" s="66">
        <f>SUBTOTAL(103,$A$22:A404)</f>
        <v>352</v>
      </c>
      <c r="C404" s="24" t="s">
        <v>75</v>
      </c>
      <c r="D404" s="31">
        <f t="shared" ref="D404:D408" si="69">E404+F404+G404+H404+I404+J404+L404+N404+P404+R404+T404+U404+V404+W404+X404+Y404+Z404+AA404+AB404+AC404+AD404+AE404</f>
        <v>3531435.05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3">
        <v>0</v>
      </c>
      <c r="L404" s="31">
        <v>0</v>
      </c>
      <c r="M404" s="31">
        <v>625</v>
      </c>
      <c r="N404" s="31">
        <v>3380848.56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f>ROUND(N404*1.5%,2)</f>
        <v>50712.73</v>
      </c>
      <c r="AD404" s="209">
        <v>99873.76</v>
      </c>
      <c r="AE404" s="31">
        <v>0</v>
      </c>
      <c r="AF404" s="34">
        <v>2020</v>
      </c>
      <c r="AG404" s="34">
        <v>2020</v>
      </c>
      <c r="AH404" s="35">
        <v>2020</v>
      </c>
      <c r="AT404" s="20" t="e">
        <f>VLOOKUP(C404,AW:AX,2,FALSE)</f>
        <v>#N/A</v>
      </c>
      <c r="BZ404" s="71"/>
      <c r="CD404" s="20" t="e">
        <f t="shared" si="49"/>
        <v>#N/A</v>
      </c>
    </row>
    <row r="405" spans="1:82" ht="61.5" x14ac:dyDescent="0.85">
      <c r="A405" s="20">
        <v>1</v>
      </c>
      <c r="B405" s="66">
        <f>SUBTOTAL(103,$A$22:A405)</f>
        <v>353</v>
      </c>
      <c r="C405" s="24" t="s">
        <v>74</v>
      </c>
      <c r="D405" s="31">
        <f t="shared" si="69"/>
        <v>3130874.1599999997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3">
        <v>0</v>
      </c>
      <c r="L405" s="31">
        <v>0</v>
      </c>
      <c r="M405" s="31">
        <v>504</v>
      </c>
      <c r="N405" s="31">
        <v>2954310.6599999997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f>ROUND(N405*1.5%,2)</f>
        <v>44314.66</v>
      </c>
      <c r="AD405" s="209">
        <v>132248.84</v>
      </c>
      <c r="AE405" s="31">
        <v>0</v>
      </c>
      <c r="AF405" s="34">
        <v>2020</v>
      </c>
      <c r="AG405" s="34">
        <v>2020</v>
      </c>
      <c r="AH405" s="35">
        <v>2020</v>
      </c>
      <c r="AT405" s="20" t="e">
        <f>VLOOKUP(C405,AW:AX,2,FALSE)</f>
        <v>#N/A</v>
      </c>
      <c r="BZ405" s="71"/>
      <c r="CD405" s="20" t="e">
        <f t="shared" si="49"/>
        <v>#N/A</v>
      </c>
    </row>
    <row r="406" spans="1:82" ht="61.5" x14ac:dyDescent="0.85">
      <c r="A406" s="20">
        <v>1</v>
      </c>
      <c r="B406" s="66">
        <f>SUBTOTAL(103,$A$22:A406)</f>
        <v>354</v>
      </c>
      <c r="C406" s="24" t="s">
        <v>76</v>
      </c>
      <c r="D406" s="31">
        <f t="shared" si="69"/>
        <v>5554456.5600000005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3">
        <v>0</v>
      </c>
      <c r="L406" s="31">
        <v>0</v>
      </c>
      <c r="M406" s="31">
        <v>954</v>
      </c>
      <c r="N406" s="31">
        <v>5341826.42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f>ROUND(N406*1.5%,2)</f>
        <v>80127.399999999994</v>
      </c>
      <c r="AD406" s="209">
        <v>132502.74</v>
      </c>
      <c r="AE406" s="31">
        <v>0</v>
      </c>
      <c r="AF406" s="34">
        <v>2020</v>
      </c>
      <c r="AG406" s="34">
        <v>2020</v>
      </c>
      <c r="AH406" s="35">
        <v>2020</v>
      </c>
      <c r="AT406" s="20" t="e">
        <f>VLOOKUP(C406,AW:AX,2,FALSE)</f>
        <v>#N/A</v>
      </c>
      <c r="BZ406" s="71"/>
      <c r="CD406" s="20" t="e">
        <f t="shared" ref="CD406:CD469" si="70">VLOOKUP(C406,CE:CF,2,FALSE)</f>
        <v>#N/A</v>
      </c>
    </row>
    <row r="407" spans="1:82" ht="61.5" x14ac:dyDescent="0.85">
      <c r="A407" s="20">
        <v>1</v>
      </c>
      <c r="B407" s="66">
        <f>SUBTOTAL(103,$A$22:A407)</f>
        <v>355</v>
      </c>
      <c r="C407" s="24" t="s">
        <v>1261</v>
      </c>
      <c r="D407" s="31">
        <f t="shared" si="69"/>
        <v>4162144.7199999997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3">
        <v>0</v>
      </c>
      <c r="L407" s="31">
        <v>0</v>
      </c>
      <c r="M407" s="31">
        <v>975.2</v>
      </c>
      <c r="N407" s="31">
        <v>4100635.19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f>ROUND(N407*1.5%,2)</f>
        <v>61509.53</v>
      </c>
      <c r="AD407" s="31">
        <v>0</v>
      </c>
      <c r="AE407" s="31">
        <v>0</v>
      </c>
      <c r="AF407" s="34" t="s">
        <v>274</v>
      </c>
      <c r="AG407" s="34">
        <v>2020</v>
      </c>
      <c r="AH407" s="35">
        <v>2020</v>
      </c>
      <c r="BZ407" s="71"/>
      <c r="CD407" s="20">
        <f t="shared" si="70"/>
        <v>975.2</v>
      </c>
    </row>
    <row r="408" spans="1:82" ht="61.5" x14ac:dyDescent="0.85">
      <c r="A408" s="20">
        <v>1</v>
      </c>
      <c r="B408" s="66">
        <f>SUBTOTAL(103,$A$22:A408)</f>
        <v>356</v>
      </c>
      <c r="C408" s="24" t="s">
        <v>1262</v>
      </c>
      <c r="D408" s="31">
        <f t="shared" si="69"/>
        <v>2394114.0999999996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3">
        <v>0</v>
      </c>
      <c r="L408" s="31">
        <v>0</v>
      </c>
      <c r="M408" s="31">
        <v>600</v>
      </c>
      <c r="N408" s="31">
        <v>2297468.5499999998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f>ROUND(N408*1.5%,2)</f>
        <v>34462.03</v>
      </c>
      <c r="AD408" s="31">
        <v>62183.519999999997</v>
      </c>
      <c r="AE408" s="31">
        <v>0</v>
      </c>
      <c r="AF408" s="34">
        <v>2020</v>
      </c>
      <c r="AG408" s="34">
        <v>2020</v>
      </c>
      <c r="AH408" s="35">
        <v>2020</v>
      </c>
      <c r="BZ408" s="71"/>
      <c r="CD408" s="20">
        <f t="shared" si="70"/>
        <v>600</v>
      </c>
    </row>
    <row r="409" spans="1:82" ht="61.5" x14ac:dyDescent="0.85">
      <c r="B409" s="24" t="s">
        <v>864</v>
      </c>
      <c r="C409" s="24"/>
      <c r="D409" s="31">
        <f>D410</f>
        <v>3182125.22</v>
      </c>
      <c r="E409" s="31">
        <f t="shared" ref="E409:AE409" si="71">E410</f>
        <v>0</v>
      </c>
      <c r="F409" s="31">
        <f t="shared" si="71"/>
        <v>0</v>
      </c>
      <c r="G409" s="31">
        <f t="shared" si="71"/>
        <v>0</v>
      </c>
      <c r="H409" s="31">
        <f t="shared" si="71"/>
        <v>0</v>
      </c>
      <c r="I409" s="31">
        <f t="shared" si="71"/>
        <v>0</v>
      </c>
      <c r="J409" s="31">
        <f t="shared" si="71"/>
        <v>0</v>
      </c>
      <c r="K409" s="33">
        <f t="shared" si="71"/>
        <v>0</v>
      </c>
      <c r="L409" s="31">
        <f t="shared" si="71"/>
        <v>0</v>
      </c>
      <c r="M409" s="31">
        <f t="shared" si="71"/>
        <v>598</v>
      </c>
      <c r="N409" s="31">
        <f t="shared" si="71"/>
        <v>3053010.16</v>
      </c>
      <c r="O409" s="31">
        <f t="shared" si="71"/>
        <v>0</v>
      </c>
      <c r="P409" s="31">
        <f t="shared" si="71"/>
        <v>0</v>
      </c>
      <c r="Q409" s="31">
        <f t="shared" si="71"/>
        <v>0</v>
      </c>
      <c r="R409" s="31">
        <f t="shared" si="71"/>
        <v>0</v>
      </c>
      <c r="S409" s="31">
        <f t="shared" si="71"/>
        <v>0</v>
      </c>
      <c r="T409" s="31">
        <f t="shared" si="71"/>
        <v>0</v>
      </c>
      <c r="U409" s="31">
        <f t="shared" si="71"/>
        <v>0</v>
      </c>
      <c r="V409" s="31">
        <f t="shared" si="71"/>
        <v>0</v>
      </c>
      <c r="W409" s="31">
        <f t="shared" si="71"/>
        <v>0</v>
      </c>
      <c r="X409" s="31">
        <f t="shared" si="71"/>
        <v>0</v>
      </c>
      <c r="Y409" s="31">
        <f t="shared" si="71"/>
        <v>0</v>
      </c>
      <c r="Z409" s="31">
        <f t="shared" si="71"/>
        <v>0</v>
      </c>
      <c r="AA409" s="31">
        <f t="shared" si="71"/>
        <v>0</v>
      </c>
      <c r="AB409" s="31">
        <f t="shared" si="71"/>
        <v>0</v>
      </c>
      <c r="AC409" s="31">
        <f t="shared" si="71"/>
        <v>45795.15</v>
      </c>
      <c r="AD409" s="31">
        <f t="shared" si="71"/>
        <v>83319.91</v>
      </c>
      <c r="AE409" s="31">
        <f t="shared" si="71"/>
        <v>0</v>
      </c>
      <c r="AF409" s="72" t="s">
        <v>776</v>
      </c>
      <c r="AG409" s="72" t="s">
        <v>776</v>
      </c>
      <c r="AH409" s="88" t="s">
        <v>776</v>
      </c>
      <c r="AT409" s="20" t="e">
        <f>VLOOKUP(C409,AW:AX,2,FALSE)</f>
        <v>#N/A</v>
      </c>
      <c r="BZ409" s="71">
        <v>3182125.2199999997</v>
      </c>
      <c r="CD409" s="20" t="e">
        <f t="shared" si="70"/>
        <v>#N/A</v>
      </c>
    </row>
    <row r="410" spans="1:82" ht="61.5" x14ac:dyDescent="0.85">
      <c r="A410" s="20">
        <v>1</v>
      </c>
      <c r="B410" s="66">
        <f>SUBTOTAL(103,$A$22:A410)</f>
        <v>357</v>
      </c>
      <c r="C410" s="24" t="s">
        <v>77</v>
      </c>
      <c r="D410" s="31">
        <f>E410+F410+G410+H410+I410+J410+L410+N410+P410+R410+T410+U410+V410+W410+X410+Y410+Z410+AA410+AB410+AC410+AD410+AE410</f>
        <v>3182125.22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3">
        <v>0</v>
      </c>
      <c r="L410" s="31">
        <v>0</v>
      </c>
      <c r="M410" s="31">
        <v>598</v>
      </c>
      <c r="N410" s="31">
        <f>2882285.69+104876.81+65847.66</f>
        <v>3053010.16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f>ROUND(N410*1.5%,2)</f>
        <v>45795.15</v>
      </c>
      <c r="AD410" s="31">
        <v>83319.91</v>
      </c>
      <c r="AE410" s="31">
        <v>0</v>
      </c>
      <c r="AF410" s="34">
        <v>2020</v>
      </c>
      <c r="AG410" s="34">
        <v>2020</v>
      </c>
      <c r="AH410" s="35">
        <v>2020</v>
      </c>
      <c r="AT410" s="20" t="e">
        <f>VLOOKUP(C410,AW:AX,2,FALSE)</f>
        <v>#N/A</v>
      </c>
      <c r="BZ410" s="71"/>
      <c r="CD410" s="20" t="e">
        <f t="shared" si="70"/>
        <v>#N/A</v>
      </c>
    </row>
    <row r="411" spans="1:82" ht="61.5" x14ac:dyDescent="0.85">
      <c r="B411" s="24" t="s">
        <v>897</v>
      </c>
      <c r="C411" s="24"/>
      <c r="D411" s="31">
        <f>D412</f>
        <v>522383.64</v>
      </c>
      <c r="E411" s="31">
        <f t="shared" ref="E411:AE411" si="72">E412</f>
        <v>0</v>
      </c>
      <c r="F411" s="31">
        <f t="shared" si="72"/>
        <v>0</v>
      </c>
      <c r="G411" s="31">
        <f t="shared" si="72"/>
        <v>0</v>
      </c>
      <c r="H411" s="31">
        <f t="shared" si="72"/>
        <v>514663.67999999999</v>
      </c>
      <c r="I411" s="31">
        <f t="shared" si="72"/>
        <v>0</v>
      </c>
      <c r="J411" s="31">
        <f t="shared" si="72"/>
        <v>0</v>
      </c>
      <c r="K411" s="33">
        <f t="shared" si="72"/>
        <v>0</v>
      </c>
      <c r="L411" s="31">
        <f t="shared" si="72"/>
        <v>0</v>
      </c>
      <c r="M411" s="31">
        <f t="shared" si="72"/>
        <v>0</v>
      </c>
      <c r="N411" s="31">
        <f t="shared" si="72"/>
        <v>0</v>
      </c>
      <c r="O411" s="31">
        <f t="shared" si="72"/>
        <v>0</v>
      </c>
      <c r="P411" s="31">
        <f t="shared" si="72"/>
        <v>0</v>
      </c>
      <c r="Q411" s="31">
        <f t="shared" si="72"/>
        <v>0</v>
      </c>
      <c r="R411" s="31">
        <f t="shared" si="72"/>
        <v>0</v>
      </c>
      <c r="S411" s="31">
        <f t="shared" si="72"/>
        <v>0</v>
      </c>
      <c r="T411" s="31">
        <f t="shared" si="72"/>
        <v>0</v>
      </c>
      <c r="U411" s="31">
        <f t="shared" si="72"/>
        <v>0</v>
      </c>
      <c r="V411" s="31">
        <f t="shared" si="72"/>
        <v>0</v>
      </c>
      <c r="W411" s="31">
        <f t="shared" si="72"/>
        <v>0</v>
      </c>
      <c r="X411" s="31">
        <f t="shared" si="72"/>
        <v>0</v>
      </c>
      <c r="Y411" s="31">
        <f t="shared" si="72"/>
        <v>0</v>
      </c>
      <c r="Z411" s="31">
        <f t="shared" si="72"/>
        <v>0</v>
      </c>
      <c r="AA411" s="31">
        <f t="shared" si="72"/>
        <v>0</v>
      </c>
      <c r="AB411" s="31">
        <f t="shared" si="72"/>
        <v>0</v>
      </c>
      <c r="AC411" s="31">
        <f t="shared" si="72"/>
        <v>7719.96</v>
      </c>
      <c r="AD411" s="31">
        <f t="shared" si="72"/>
        <v>0</v>
      </c>
      <c r="AE411" s="31">
        <f t="shared" si="72"/>
        <v>0</v>
      </c>
      <c r="AF411" s="72" t="s">
        <v>776</v>
      </c>
      <c r="AG411" s="72" t="s">
        <v>776</v>
      </c>
      <c r="AH411" s="88" t="s">
        <v>776</v>
      </c>
      <c r="BZ411" s="71">
        <v>522383.64</v>
      </c>
      <c r="CD411" s="20" t="e">
        <f t="shared" si="70"/>
        <v>#N/A</v>
      </c>
    </row>
    <row r="412" spans="1:82" ht="61.5" x14ac:dyDescent="0.85">
      <c r="A412" s="20">
        <v>1</v>
      </c>
      <c r="B412" s="66">
        <f>SUBTOTAL(103,$A$22:A412)</f>
        <v>358</v>
      </c>
      <c r="C412" s="24" t="s">
        <v>1263</v>
      </c>
      <c r="D412" s="31">
        <f>E412+F412+G412+H412+I412+J412+L412+N412+P412+R412+T412+U412+V412+W412+X412+Y412+Z412+AA412+AB412+AC412+AD412+AE412</f>
        <v>522383.64</v>
      </c>
      <c r="E412" s="31">
        <v>0</v>
      </c>
      <c r="F412" s="31">
        <v>0</v>
      </c>
      <c r="G412" s="31">
        <v>0</v>
      </c>
      <c r="H412" s="31">
        <v>514663.67999999999</v>
      </c>
      <c r="I412" s="31">
        <v>0</v>
      </c>
      <c r="J412" s="31">
        <v>0</v>
      </c>
      <c r="K412" s="33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f>ROUND((E412+F412+G412+H412+I412+J412)*1.5%,2)</f>
        <v>7719.96</v>
      </c>
      <c r="AD412" s="31">
        <v>0</v>
      </c>
      <c r="AE412" s="31">
        <v>0</v>
      </c>
      <c r="AF412" s="34" t="s">
        <v>274</v>
      </c>
      <c r="AG412" s="34">
        <v>2020</v>
      </c>
      <c r="AH412" s="35">
        <v>2020</v>
      </c>
      <c r="BZ412" s="71"/>
      <c r="CD412" s="20" t="e">
        <f t="shared" si="70"/>
        <v>#N/A</v>
      </c>
    </row>
    <row r="413" spans="1:82" ht="61.5" x14ac:dyDescent="0.85">
      <c r="B413" s="24" t="s">
        <v>865</v>
      </c>
      <c r="C413" s="129"/>
      <c r="D413" s="31">
        <f t="shared" ref="D413:AE413" si="73">SUM(D414:D418)</f>
        <v>19350948.300000001</v>
      </c>
      <c r="E413" s="31">
        <f t="shared" si="73"/>
        <v>0</v>
      </c>
      <c r="F413" s="31">
        <f t="shared" si="73"/>
        <v>0</v>
      </c>
      <c r="G413" s="31">
        <f t="shared" si="73"/>
        <v>0</v>
      </c>
      <c r="H413" s="31">
        <f t="shared" si="73"/>
        <v>0</v>
      </c>
      <c r="I413" s="31">
        <f t="shared" si="73"/>
        <v>0</v>
      </c>
      <c r="J413" s="31">
        <f t="shared" si="73"/>
        <v>0</v>
      </c>
      <c r="K413" s="33">
        <f t="shared" si="73"/>
        <v>0</v>
      </c>
      <c r="L413" s="31">
        <f t="shared" si="73"/>
        <v>0</v>
      </c>
      <c r="M413" s="31">
        <f t="shared" si="73"/>
        <v>2627.83</v>
      </c>
      <c r="N413" s="31">
        <f t="shared" si="73"/>
        <v>12426985.93</v>
      </c>
      <c r="O413" s="31">
        <f t="shared" si="73"/>
        <v>0</v>
      </c>
      <c r="P413" s="31">
        <f t="shared" si="73"/>
        <v>0</v>
      </c>
      <c r="Q413" s="31">
        <f t="shared" si="73"/>
        <v>0</v>
      </c>
      <c r="R413" s="31">
        <f t="shared" si="73"/>
        <v>0</v>
      </c>
      <c r="S413" s="31">
        <f t="shared" si="73"/>
        <v>0</v>
      </c>
      <c r="T413" s="31">
        <f t="shared" si="73"/>
        <v>0</v>
      </c>
      <c r="U413" s="31">
        <f t="shared" si="73"/>
        <v>6416425.7599999998</v>
      </c>
      <c r="V413" s="31">
        <f t="shared" si="73"/>
        <v>0</v>
      </c>
      <c r="W413" s="31">
        <f t="shared" si="73"/>
        <v>0</v>
      </c>
      <c r="X413" s="31">
        <f t="shared" si="73"/>
        <v>0</v>
      </c>
      <c r="Y413" s="31">
        <f t="shared" si="73"/>
        <v>0</v>
      </c>
      <c r="Z413" s="31">
        <f t="shared" si="73"/>
        <v>0</v>
      </c>
      <c r="AA413" s="31">
        <f t="shared" si="73"/>
        <v>0</v>
      </c>
      <c r="AB413" s="31">
        <f t="shared" si="73"/>
        <v>0</v>
      </c>
      <c r="AC413" s="31">
        <f t="shared" si="73"/>
        <v>282651.17</v>
      </c>
      <c r="AD413" s="31">
        <f t="shared" si="73"/>
        <v>104885.44</v>
      </c>
      <c r="AE413" s="31">
        <f t="shared" si="73"/>
        <v>120000</v>
      </c>
      <c r="AF413" s="72" t="s">
        <v>776</v>
      </c>
      <c r="AG413" s="72" t="s">
        <v>776</v>
      </c>
      <c r="AH413" s="88" t="s">
        <v>776</v>
      </c>
      <c r="AT413" s="20" t="e">
        <f>VLOOKUP(C413,AW:AX,2,FALSE)</f>
        <v>#N/A</v>
      </c>
      <c r="BZ413" s="71">
        <v>18514841.960000001</v>
      </c>
      <c r="CD413" s="20" t="e">
        <f t="shared" si="70"/>
        <v>#N/A</v>
      </c>
    </row>
    <row r="414" spans="1:82" ht="61.5" x14ac:dyDescent="0.85">
      <c r="A414" s="20">
        <v>1</v>
      </c>
      <c r="B414" s="66">
        <f>SUBTOTAL(103,$A$22:A414)</f>
        <v>359</v>
      </c>
      <c r="C414" s="24" t="s">
        <v>108</v>
      </c>
      <c r="D414" s="31">
        <f>E414+F414+G414+H414+I414+J414+L414+N414+P414+R414+T414+U414+V414+W414+X414+Y414+Z414+AA414+AB414+AC414+AD414+AE414</f>
        <v>2621954.33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3">
        <v>0</v>
      </c>
      <c r="L414" s="31">
        <v>0</v>
      </c>
      <c r="M414" s="31">
        <v>549.33000000000004</v>
      </c>
      <c r="N414" s="31">
        <f>2451835.25+131371</f>
        <v>2583206.25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f>ROUND(N414*1.5%,2)-0.01</f>
        <v>38748.079999999994</v>
      </c>
      <c r="AD414" s="31">
        <v>0</v>
      </c>
      <c r="AE414" s="31">
        <v>0</v>
      </c>
      <c r="AF414" s="34" t="s">
        <v>274</v>
      </c>
      <c r="AG414" s="34">
        <v>2020</v>
      </c>
      <c r="AH414" s="35">
        <v>2020</v>
      </c>
      <c r="AT414" s="20" t="e">
        <f>VLOOKUP(C414,AW:AX,2,FALSE)</f>
        <v>#N/A</v>
      </c>
      <c r="BZ414" s="71"/>
      <c r="CD414" s="20">
        <f t="shared" si="70"/>
        <v>596.4</v>
      </c>
    </row>
    <row r="415" spans="1:82" ht="61.5" x14ac:dyDescent="0.85">
      <c r="A415" s="20">
        <v>1</v>
      </c>
      <c r="B415" s="66">
        <f>SUBTOTAL(103,$A$22:A415)</f>
        <v>360</v>
      </c>
      <c r="C415" s="24" t="s">
        <v>110</v>
      </c>
      <c r="D415" s="31">
        <f>E415+F415+G415+H415+I415+J415+L415+N415+P415+R415+T415+U415+V415+W415+X415+Y415+Z415+AA415+AB415+AC415+AD415+AE415</f>
        <v>5119245.6399999997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3">
        <v>0</v>
      </c>
      <c r="L415" s="31">
        <v>0</v>
      </c>
      <c r="M415" s="31">
        <v>936.1</v>
      </c>
      <c r="N415" s="31">
        <v>4940256.3499999996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f>ROUND(N415*1.5%,2)</f>
        <v>74103.850000000006</v>
      </c>
      <c r="AD415" s="31">
        <v>104885.44</v>
      </c>
      <c r="AE415" s="31">
        <v>0</v>
      </c>
      <c r="AF415" s="34">
        <v>2020</v>
      </c>
      <c r="AG415" s="34">
        <v>2020</v>
      </c>
      <c r="AH415" s="35">
        <v>2020</v>
      </c>
      <c r="AT415" s="20" t="e">
        <f>VLOOKUP(C415,AW:AX,2,FALSE)</f>
        <v>#N/A</v>
      </c>
      <c r="BZ415" s="71"/>
      <c r="CD415" s="20">
        <f t="shared" si="70"/>
        <v>936.1</v>
      </c>
    </row>
    <row r="416" spans="1:82" ht="61.5" x14ac:dyDescent="0.85">
      <c r="A416" s="20">
        <v>1</v>
      </c>
      <c r="B416" s="66">
        <f>SUBTOTAL(103,$A$22:A416)</f>
        <v>361</v>
      </c>
      <c r="C416" s="24" t="s">
        <v>1264</v>
      </c>
      <c r="D416" s="31">
        <f>E416+F416+G416+H416+I416+J416+L416+N416+P416+R416+T416+U416+V416+W416+X416+Y416+Z416+AA416+AB416+AC416+AD416+AE416</f>
        <v>3913623.54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3">
        <v>0</v>
      </c>
      <c r="L416" s="31">
        <v>0</v>
      </c>
      <c r="M416" s="31">
        <v>807.4</v>
      </c>
      <c r="N416" s="31">
        <v>3855786.74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f>ROUND(N416*1.5%,2)</f>
        <v>57836.800000000003</v>
      </c>
      <c r="AD416" s="31">
        <v>0</v>
      </c>
      <c r="AE416" s="31">
        <v>0</v>
      </c>
      <c r="AF416" s="34" t="s">
        <v>274</v>
      </c>
      <c r="AG416" s="34">
        <v>2020</v>
      </c>
      <c r="AH416" s="35">
        <v>2020</v>
      </c>
      <c r="BZ416" s="71"/>
      <c r="CD416" s="20">
        <f t="shared" si="70"/>
        <v>807.4</v>
      </c>
    </row>
    <row r="417" spans="1:82" ht="61.5" x14ac:dyDescent="0.85">
      <c r="A417" s="20">
        <v>1</v>
      </c>
      <c r="B417" s="66">
        <f>SUBTOTAL(103,$A$22:A417)</f>
        <v>362</v>
      </c>
      <c r="C417" s="24" t="s">
        <v>1265</v>
      </c>
      <c r="D417" s="31">
        <f>E417+F417+G417+H417+I417+J417+L417+N417+P417+R417+T417+U417+V417+W417+X417+Y417+Z417+AA417+AB417+AC417+AD417+AE417</f>
        <v>6512672.1499999994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3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f>5582000+10675.67+ROUND(836106.34/101.5*100,2)</f>
        <v>6416425.7599999998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f>ROUND(U417*1.5%,2)</f>
        <v>96246.39</v>
      </c>
      <c r="AD417" s="31">
        <v>0</v>
      </c>
      <c r="AE417" s="31">
        <v>0</v>
      </c>
      <c r="AF417" s="34" t="s">
        <v>274</v>
      </c>
      <c r="AG417" s="34">
        <v>2020</v>
      </c>
      <c r="AH417" s="35">
        <v>2020</v>
      </c>
      <c r="BZ417" s="71"/>
      <c r="CD417" s="20">
        <f t="shared" si="70"/>
        <v>901.42</v>
      </c>
    </row>
    <row r="418" spans="1:82" ht="61.5" x14ac:dyDescent="0.85">
      <c r="A418" s="20">
        <v>1</v>
      </c>
      <c r="B418" s="66">
        <f>SUBTOTAL(103,$A$22:A418)</f>
        <v>363</v>
      </c>
      <c r="C418" s="24" t="s">
        <v>1266</v>
      </c>
      <c r="D418" s="31">
        <f>E418+F418+G418+H418+I418+J418+L418+N418+P418+R418+T418+U418+V418+W418+X418+Y418+Z418+AA418+AB418+AC418+AD418+AE418</f>
        <v>1183452.6399999999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3">
        <v>0</v>
      </c>
      <c r="L418" s="31">
        <v>0</v>
      </c>
      <c r="M418" s="31">
        <v>335</v>
      </c>
      <c r="N418" s="31">
        <f>994964.85+52771.74</f>
        <v>1047736.59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f>ROUND(N418*1.5%,2)</f>
        <v>15716.05</v>
      </c>
      <c r="AD418" s="31">
        <v>0</v>
      </c>
      <c r="AE418" s="31">
        <v>120000</v>
      </c>
      <c r="AF418" s="34" t="s">
        <v>274</v>
      </c>
      <c r="AG418" s="34">
        <v>2020</v>
      </c>
      <c r="AH418" s="35">
        <v>2020</v>
      </c>
      <c r="BZ418" s="71"/>
      <c r="CD418" s="20">
        <f t="shared" si="70"/>
        <v>335</v>
      </c>
    </row>
    <row r="419" spans="1:82" ht="61.5" x14ac:dyDescent="0.85">
      <c r="B419" s="24" t="s">
        <v>866</v>
      </c>
      <c r="C419" s="129"/>
      <c r="D419" s="31">
        <f>D420</f>
        <v>5141890.2</v>
      </c>
      <c r="E419" s="31">
        <f t="shared" ref="E419:AE419" si="74">E420</f>
        <v>0</v>
      </c>
      <c r="F419" s="31">
        <f t="shared" si="74"/>
        <v>0</v>
      </c>
      <c r="G419" s="31">
        <f t="shared" si="74"/>
        <v>0</v>
      </c>
      <c r="H419" s="31">
        <f t="shared" si="74"/>
        <v>0</v>
      </c>
      <c r="I419" s="31">
        <f t="shared" si="74"/>
        <v>0</v>
      </c>
      <c r="J419" s="31">
        <f t="shared" si="74"/>
        <v>0</v>
      </c>
      <c r="K419" s="33">
        <f t="shared" si="74"/>
        <v>0</v>
      </c>
      <c r="L419" s="31">
        <f t="shared" si="74"/>
        <v>0</v>
      </c>
      <c r="M419" s="31">
        <f t="shared" si="74"/>
        <v>1110</v>
      </c>
      <c r="N419" s="31">
        <f t="shared" si="74"/>
        <v>4880680</v>
      </c>
      <c r="O419" s="31">
        <f t="shared" si="74"/>
        <v>0</v>
      </c>
      <c r="P419" s="31">
        <f t="shared" si="74"/>
        <v>0</v>
      </c>
      <c r="Q419" s="31">
        <f t="shared" si="74"/>
        <v>0</v>
      </c>
      <c r="R419" s="31">
        <f t="shared" si="74"/>
        <v>0</v>
      </c>
      <c r="S419" s="31">
        <f t="shared" si="74"/>
        <v>0</v>
      </c>
      <c r="T419" s="31">
        <f t="shared" si="74"/>
        <v>0</v>
      </c>
      <c r="U419" s="31">
        <f t="shared" si="74"/>
        <v>0</v>
      </c>
      <c r="V419" s="31">
        <f t="shared" si="74"/>
        <v>0</v>
      </c>
      <c r="W419" s="31">
        <f t="shared" si="74"/>
        <v>0</v>
      </c>
      <c r="X419" s="31">
        <f t="shared" si="74"/>
        <v>0</v>
      </c>
      <c r="Y419" s="31">
        <f t="shared" si="74"/>
        <v>0</v>
      </c>
      <c r="Z419" s="31">
        <f t="shared" si="74"/>
        <v>0</v>
      </c>
      <c r="AA419" s="31">
        <f t="shared" si="74"/>
        <v>0</v>
      </c>
      <c r="AB419" s="31">
        <f t="shared" si="74"/>
        <v>0</v>
      </c>
      <c r="AC419" s="31">
        <f t="shared" si="74"/>
        <v>73210.2</v>
      </c>
      <c r="AD419" s="31">
        <f t="shared" si="74"/>
        <v>188000</v>
      </c>
      <c r="AE419" s="31">
        <f t="shared" si="74"/>
        <v>0</v>
      </c>
      <c r="AF419" s="72" t="s">
        <v>776</v>
      </c>
      <c r="AG419" s="72" t="s">
        <v>776</v>
      </c>
      <c r="AH419" s="88" t="s">
        <v>776</v>
      </c>
      <c r="AT419" s="20" t="e">
        <f>VLOOKUP(C419,AW:AX,2,FALSE)</f>
        <v>#N/A</v>
      </c>
      <c r="BZ419" s="71">
        <v>5141890.2</v>
      </c>
      <c r="CD419" s="20" t="e">
        <f t="shared" si="70"/>
        <v>#N/A</v>
      </c>
    </row>
    <row r="420" spans="1:82" ht="61.5" x14ac:dyDescent="0.85">
      <c r="A420" s="20">
        <v>1</v>
      </c>
      <c r="B420" s="66">
        <f>SUBTOTAL(103,$A$22:A420)</f>
        <v>364</v>
      </c>
      <c r="C420" s="24" t="s">
        <v>40</v>
      </c>
      <c r="D420" s="31">
        <f>E420+F420+G420+H420+I420+J420+L420+N420+P420+R420+T420+U420+V420+W420+X420+Y420+Z420+AA420+AB420+AC420+AD420+AE420</f>
        <v>5141890.2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3">
        <v>0</v>
      </c>
      <c r="L420" s="31">
        <v>0</v>
      </c>
      <c r="M420" s="31">
        <v>1110</v>
      </c>
      <c r="N420" s="31">
        <f>4569884.04-985.22+311781.18</f>
        <v>4880680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f>ROUND(N420*1.5%,2)</f>
        <v>73210.2</v>
      </c>
      <c r="AD420" s="31">
        <v>188000</v>
      </c>
      <c r="AE420" s="31">
        <v>0</v>
      </c>
      <c r="AF420" s="34">
        <v>2020</v>
      </c>
      <c r="AG420" s="34">
        <v>2020</v>
      </c>
      <c r="AH420" s="35">
        <v>2020</v>
      </c>
      <c r="AT420" s="20" t="e">
        <f>VLOOKUP(C420,AW:AX,2,FALSE)</f>
        <v>#N/A</v>
      </c>
      <c r="BZ420" s="71"/>
      <c r="CD420" s="20" t="e">
        <f t="shared" si="70"/>
        <v>#N/A</v>
      </c>
    </row>
    <row r="421" spans="1:82" ht="61.5" x14ac:dyDescent="0.85">
      <c r="B421" s="24" t="s">
        <v>867</v>
      </c>
      <c r="C421" s="24"/>
      <c r="D421" s="31">
        <f>D422+D423+D424+D425</f>
        <v>21692861.549999997</v>
      </c>
      <c r="E421" s="31">
        <f t="shared" ref="E421:AE421" si="75">E422+E423+E424+E425</f>
        <v>561649.39</v>
      </c>
      <c r="F421" s="31">
        <f t="shared" si="75"/>
        <v>492637.49</v>
      </c>
      <c r="G421" s="31">
        <f t="shared" si="75"/>
        <v>2246215.7799999998</v>
      </c>
      <c r="H421" s="31">
        <f t="shared" si="75"/>
        <v>432886.63</v>
      </c>
      <c r="I421" s="31">
        <f t="shared" si="75"/>
        <v>0</v>
      </c>
      <c r="J421" s="31">
        <f t="shared" si="75"/>
        <v>0</v>
      </c>
      <c r="K421" s="33">
        <f t="shared" si="75"/>
        <v>0</v>
      </c>
      <c r="L421" s="31">
        <f t="shared" si="75"/>
        <v>0</v>
      </c>
      <c r="M421" s="31">
        <f t="shared" si="75"/>
        <v>4112</v>
      </c>
      <c r="N421" s="31">
        <f t="shared" si="75"/>
        <v>17373530.239999998</v>
      </c>
      <c r="O421" s="31">
        <f t="shared" si="75"/>
        <v>0</v>
      </c>
      <c r="P421" s="31">
        <f t="shared" si="75"/>
        <v>0</v>
      </c>
      <c r="Q421" s="31">
        <f t="shared" si="75"/>
        <v>0</v>
      </c>
      <c r="R421" s="31">
        <f t="shared" si="75"/>
        <v>0</v>
      </c>
      <c r="S421" s="31">
        <f t="shared" si="75"/>
        <v>0</v>
      </c>
      <c r="T421" s="31">
        <f t="shared" si="75"/>
        <v>0</v>
      </c>
      <c r="U421" s="31">
        <f t="shared" si="75"/>
        <v>0</v>
      </c>
      <c r="V421" s="31">
        <f t="shared" si="75"/>
        <v>0</v>
      </c>
      <c r="W421" s="31">
        <f t="shared" si="75"/>
        <v>0</v>
      </c>
      <c r="X421" s="31">
        <f t="shared" si="75"/>
        <v>0</v>
      </c>
      <c r="Y421" s="31">
        <f t="shared" si="75"/>
        <v>0</v>
      </c>
      <c r="Z421" s="31">
        <f t="shared" si="75"/>
        <v>0</v>
      </c>
      <c r="AA421" s="31">
        <f t="shared" si="75"/>
        <v>0</v>
      </c>
      <c r="AB421" s="31">
        <f t="shared" si="75"/>
        <v>0</v>
      </c>
      <c r="AC421" s="31">
        <f t="shared" si="75"/>
        <v>256869.31999999998</v>
      </c>
      <c r="AD421" s="31">
        <f t="shared" si="75"/>
        <v>329072.69999999995</v>
      </c>
      <c r="AE421" s="31">
        <f t="shared" si="75"/>
        <v>0</v>
      </c>
      <c r="AF421" s="72" t="s">
        <v>776</v>
      </c>
      <c r="AG421" s="72" t="s">
        <v>776</v>
      </c>
      <c r="AH421" s="88" t="s">
        <v>776</v>
      </c>
      <c r="AT421" s="20" t="e">
        <f>VLOOKUP(C421,AW:AX,2,FALSE)</f>
        <v>#N/A</v>
      </c>
      <c r="BZ421" s="71">
        <v>21864677.539999999</v>
      </c>
      <c r="CD421" s="20" t="e">
        <f t="shared" si="70"/>
        <v>#N/A</v>
      </c>
    </row>
    <row r="422" spans="1:82" ht="61.5" x14ac:dyDescent="0.85">
      <c r="A422" s="20">
        <v>1</v>
      </c>
      <c r="B422" s="66">
        <f>SUBTOTAL(103,$A$22:A422)</f>
        <v>365</v>
      </c>
      <c r="C422" s="24" t="s">
        <v>63</v>
      </c>
      <c r="D422" s="31">
        <f>E422+F422+G422+H422+I422+J422+L422+N422+P422+R422+T422+U422+V422+W422+X422+Y422+Z422+AA422+AB422+AC422+AD422+AE422</f>
        <v>6351854.879999999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3">
        <v>0</v>
      </c>
      <c r="L422" s="31">
        <v>0</v>
      </c>
      <c r="M422" s="31">
        <v>1420</v>
      </c>
      <c r="N422" s="31">
        <f>5786396.52+295738.38</f>
        <v>6082134.8999999994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f>ROUND(N422*1.5%,2)</f>
        <v>91232.02</v>
      </c>
      <c r="AD422" s="31">
        <v>178487.96</v>
      </c>
      <c r="AE422" s="31">
        <v>0</v>
      </c>
      <c r="AF422" s="34">
        <v>2020</v>
      </c>
      <c r="AG422" s="34">
        <v>2020</v>
      </c>
      <c r="AH422" s="35">
        <v>2020</v>
      </c>
      <c r="AT422" s="20" t="e">
        <f>VLOOKUP(C422,AW:AX,2,FALSE)</f>
        <v>#N/A</v>
      </c>
      <c r="BZ422" s="71"/>
      <c r="CD422" s="20" t="e">
        <f t="shared" si="70"/>
        <v>#N/A</v>
      </c>
    </row>
    <row r="423" spans="1:82" ht="61.5" x14ac:dyDescent="0.85">
      <c r="A423" s="20">
        <v>1</v>
      </c>
      <c r="B423" s="66">
        <f>SUBTOTAL(103,$A$22:A423)</f>
        <v>366</v>
      </c>
      <c r="C423" s="24" t="s">
        <v>1279</v>
      </c>
      <c r="D423" s="31">
        <f>E423+F423+G423+H423+I423+J423+L423+N423+P423+R423+T423+U423+V423+W423+X423+Y423+Z423+AA423+AB423+AC423+AD423+AE423</f>
        <v>3789390.1299999994</v>
      </c>
      <c r="E423" s="31">
        <v>561649.39</v>
      </c>
      <c r="F423" s="31">
        <v>492637.49</v>
      </c>
      <c r="G423" s="31">
        <v>2246215.7799999998</v>
      </c>
      <c r="H423" s="31">
        <v>432886.63</v>
      </c>
      <c r="I423" s="31">
        <v>0</v>
      </c>
      <c r="J423" s="31">
        <v>0</v>
      </c>
      <c r="K423" s="33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f>ROUND((E423+F423+G423+H423+I423+J423)*1.5%,2)</f>
        <v>56000.84</v>
      </c>
      <c r="AD423" s="31">
        <v>0</v>
      </c>
      <c r="AE423" s="31">
        <v>0</v>
      </c>
      <c r="AF423" s="34" t="s">
        <v>274</v>
      </c>
      <c r="AG423" s="34">
        <v>2020</v>
      </c>
      <c r="AH423" s="35">
        <v>2020</v>
      </c>
      <c r="BZ423" s="71"/>
      <c r="CD423" s="20" t="e">
        <f t="shared" si="70"/>
        <v>#N/A</v>
      </c>
    </row>
    <row r="424" spans="1:82" ht="61.5" x14ac:dyDescent="0.85">
      <c r="A424" s="20">
        <v>1</v>
      </c>
      <c r="B424" s="66">
        <f>SUBTOTAL(103,$A$22:A424)</f>
        <v>367</v>
      </c>
      <c r="C424" s="24" t="s">
        <v>1596</v>
      </c>
      <c r="D424" s="31">
        <f>E424+F424+G424+H424+I424+J424+L424+N424+P424+R424+T424+U424+V424+W424+X424+Y424+Z424+AA424+AB424+AC424+AD424+AE424</f>
        <v>5709104.1399999997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3">
        <v>0</v>
      </c>
      <c r="L424" s="31">
        <v>0</v>
      </c>
      <c r="M424" s="31">
        <v>1331</v>
      </c>
      <c r="N424" s="31">
        <v>5683584.8399999999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f>ROUND(N424*0.449%,2)</f>
        <v>25519.3</v>
      </c>
      <c r="AD424" s="31">
        <v>0</v>
      </c>
      <c r="AE424" s="31">
        <v>0</v>
      </c>
      <c r="AF424" s="34" t="s">
        <v>274</v>
      </c>
      <c r="AG424" s="34">
        <v>2020</v>
      </c>
      <c r="AH424" s="35">
        <v>2020</v>
      </c>
      <c r="BZ424" s="71"/>
      <c r="CD424" s="20" t="e">
        <f t="shared" si="70"/>
        <v>#N/A</v>
      </c>
    </row>
    <row r="425" spans="1:82" ht="61.5" x14ac:dyDescent="0.85">
      <c r="A425" s="20">
        <v>1</v>
      </c>
      <c r="B425" s="66">
        <f>SUBTOTAL(103,$A$22:A425)</f>
        <v>368</v>
      </c>
      <c r="C425" s="24" t="s">
        <v>52</v>
      </c>
      <c r="D425" s="31">
        <f>E425+F425+G425+H425+I425+J425+L425+N425+P425+R425+T425+U425+V425+W425+X425+Y425+Z425+AA425+AB425+AC425+AD425+AE425</f>
        <v>5842512.4000000004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3">
        <v>0</v>
      </c>
      <c r="L425" s="31">
        <v>0</v>
      </c>
      <c r="M425" s="31">
        <v>1361</v>
      </c>
      <c r="N425" s="31">
        <v>5607810.5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f>ROUND(N425*1.5%,2)</f>
        <v>84117.16</v>
      </c>
      <c r="AD425" s="31">
        <v>150584.74</v>
      </c>
      <c r="AE425" s="31">
        <v>0</v>
      </c>
      <c r="AF425" s="34">
        <v>2020</v>
      </c>
      <c r="AG425" s="34">
        <v>2020</v>
      </c>
      <c r="AH425" s="35">
        <v>2020</v>
      </c>
      <c r="AT425" s="20" t="e">
        <f>VLOOKUP(C425,AW:AX,2,FALSE)</f>
        <v>#N/A</v>
      </c>
      <c r="BZ425" s="71"/>
      <c r="CD425" s="20" t="e">
        <f t="shared" si="70"/>
        <v>#N/A</v>
      </c>
    </row>
    <row r="426" spans="1:82" ht="61.5" x14ac:dyDescent="0.85">
      <c r="B426" s="24" t="s">
        <v>868</v>
      </c>
      <c r="C426" s="24"/>
      <c r="D426" s="31">
        <f>SUM(D427:D433)</f>
        <v>33530692.979999997</v>
      </c>
      <c r="E426" s="31">
        <f t="shared" ref="E426:AE426" si="76">SUM(E427:E433)</f>
        <v>1808322.75</v>
      </c>
      <c r="F426" s="31">
        <f t="shared" si="76"/>
        <v>3961209.92</v>
      </c>
      <c r="G426" s="31">
        <f t="shared" si="76"/>
        <v>12231471.289999999</v>
      </c>
      <c r="H426" s="31">
        <f t="shared" si="76"/>
        <v>2331370.5</v>
      </c>
      <c r="I426" s="31">
        <f t="shared" si="76"/>
        <v>2823224.32</v>
      </c>
      <c r="J426" s="31">
        <f t="shared" si="76"/>
        <v>0</v>
      </c>
      <c r="K426" s="33">
        <f t="shared" si="76"/>
        <v>0</v>
      </c>
      <c r="L426" s="31">
        <f t="shared" si="76"/>
        <v>0</v>
      </c>
      <c r="M426" s="31">
        <f t="shared" si="76"/>
        <v>1270.7</v>
      </c>
      <c r="N426" s="31">
        <f t="shared" si="76"/>
        <v>6187231.6299999999</v>
      </c>
      <c r="O426" s="31">
        <f t="shared" si="76"/>
        <v>0</v>
      </c>
      <c r="P426" s="31">
        <f t="shared" si="76"/>
        <v>0</v>
      </c>
      <c r="Q426" s="31">
        <f t="shared" si="76"/>
        <v>858.98</v>
      </c>
      <c r="R426" s="31">
        <f t="shared" si="76"/>
        <v>3617645.64</v>
      </c>
      <c r="S426" s="31">
        <f t="shared" si="76"/>
        <v>0</v>
      </c>
      <c r="T426" s="31">
        <f t="shared" si="76"/>
        <v>0</v>
      </c>
      <c r="U426" s="31">
        <f t="shared" si="76"/>
        <v>0</v>
      </c>
      <c r="V426" s="31">
        <f t="shared" si="76"/>
        <v>0</v>
      </c>
      <c r="W426" s="31">
        <f t="shared" si="76"/>
        <v>0</v>
      </c>
      <c r="X426" s="31">
        <f t="shared" si="76"/>
        <v>0</v>
      </c>
      <c r="Y426" s="31">
        <f t="shared" si="76"/>
        <v>0</v>
      </c>
      <c r="Z426" s="31">
        <f t="shared" si="76"/>
        <v>0</v>
      </c>
      <c r="AA426" s="31">
        <f t="shared" si="76"/>
        <v>0</v>
      </c>
      <c r="AB426" s="31">
        <f t="shared" si="76"/>
        <v>0</v>
      </c>
      <c r="AC426" s="31">
        <f t="shared" si="76"/>
        <v>357038.67</v>
      </c>
      <c r="AD426" s="31">
        <f t="shared" si="76"/>
        <v>213178.26</v>
      </c>
      <c r="AE426" s="31">
        <f t="shared" si="76"/>
        <v>0</v>
      </c>
      <c r="AF426" s="72" t="s">
        <v>776</v>
      </c>
      <c r="AG426" s="72" t="s">
        <v>776</v>
      </c>
      <c r="AH426" s="88" t="s">
        <v>776</v>
      </c>
      <c r="AT426" s="20" t="e">
        <f>VLOOKUP(C426,AW:AX,2,FALSE)</f>
        <v>#N/A</v>
      </c>
      <c r="BZ426" s="71">
        <v>34570625.039999999</v>
      </c>
      <c r="CD426" s="20" t="e">
        <f t="shared" si="70"/>
        <v>#N/A</v>
      </c>
    </row>
    <row r="427" spans="1:82" ht="61.5" x14ac:dyDescent="0.85">
      <c r="A427" s="20">
        <v>1</v>
      </c>
      <c r="B427" s="66">
        <f>SUBTOTAL(103,$A$22:A427)</f>
        <v>369</v>
      </c>
      <c r="C427" s="24" t="s">
        <v>47</v>
      </c>
      <c r="D427" s="31">
        <f t="shared" ref="D427:D433" si="77">E427+F427+G427+H427+I427+J427+L427+N427+P427+R427+T427+U427+V427+W427+X427+Y427+Z427+AA427+AB427+AC427+AD427+AE427</f>
        <v>3249292.7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3">
        <v>0</v>
      </c>
      <c r="L427" s="31">
        <v>0</v>
      </c>
      <c r="M427" s="31">
        <v>626.70000000000005</v>
      </c>
      <c r="N427" s="31">
        <v>3096061.14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f>ROUND(N427*1.5%,2)</f>
        <v>46440.92</v>
      </c>
      <c r="AD427" s="31">
        <v>106790.64</v>
      </c>
      <c r="AE427" s="31">
        <v>0</v>
      </c>
      <c r="AF427" s="34">
        <v>2020</v>
      </c>
      <c r="AG427" s="34">
        <v>2020</v>
      </c>
      <c r="AH427" s="35">
        <v>2020</v>
      </c>
      <c r="AT427" s="20" t="e">
        <f>VLOOKUP(C427,AW:AX,2,FALSE)</f>
        <v>#N/A</v>
      </c>
      <c r="BZ427" s="71"/>
      <c r="CD427" s="20" t="e">
        <f t="shared" si="70"/>
        <v>#N/A</v>
      </c>
    </row>
    <row r="428" spans="1:82" ht="61.5" x14ac:dyDescent="0.85">
      <c r="A428" s="20">
        <v>1</v>
      </c>
      <c r="B428" s="66">
        <f>SUBTOTAL(103,$A$22:A428)</f>
        <v>370</v>
      </c>
      <c r="C428" s="24" t="s">
        <v>821</v>
      </c>
      <c r="D428" s="31">
        <f t="shared" si="77"/>
        <v>3243925.67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3">
        <v>0</v>
      </c>
      <c r="L428" s="31">
        <v>0</v>
      </c>
      <c r="M428" s="31">
        <v>644</v>
      </c>
      <c r="N428" s="31">
        <v>3091170.4899999998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f>ROUND(N428*1.5%,2)</f>
        <v>46367.56</v>
      </c>
      <c r="AD428" s="31">
        <v>106387.62</v>
      </c>
      <c r="AE428" s="31">
        <v>0</v>
      </c>
      <c r="AF428" s="34">
        <v>2020</v>
      </c>
      <c r="AG428" s="34">
        <v>2020</v>
      </c>
      <c r="AH428" s="35">
        <v>2020</v>
      </c>
      <c r="AT428" s="20" t="e">
        <f>VLOOKUP(C428,AW:AX,2,FALSE)</f>
        <v>#N/A</v>
      </c>
      <c r="BZ428" s="71"/>
      <c r="CD428" s="20" t="e">
        <f t="shared" si="70"/>
        <v>#N/A</v>
      </c>
    </row>
    <row r="429" spans="1:82" ht="61.5" x14ac:dyDescent="0.85">
      <c r="A429" s="20">
        <v>1</v>
      </c>
      <c r="B429" s="66">
        <f>SUBTOTAL(103,$A$22:A429)</f>
        <v>371</v>
      </c>
      <c r="C429" s="24" t="s">
        <v>1267</v>
      </c>
      <c r="D429" s="31">
        <f t="shared" si="77"/>
        <v>5055398.59</v>
      </c>
      <c r="E429" s="31">
        <v>420192.57</v>
      </c>
      <c r="F429" s="31">
        <v>698894.43</v>
      </c>
      <c r="G429" s="31">
        <v>3335941.54</v>
      </c>
      <c r="H429" s="31">
        <v>526027.78</v>
      </c>
      <c r="I429" s="31">
        <v>0</v>
      </c>
      <c r="J429" s="31">
        <v>0</v>
      </c>
      <c r="K429" s="33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f>ROUND((E429+F429+G429+H429+I429+J429)*1.4925%,2)</f>
        <v>74342.27</v>
      </c>
      <c r="AD429" s="31">
        <v>0</v>
      </c>
      <c r="AE429" s="31">
        <v>0</v>
      </c>
      <c r="AF429" s="34" t="s">
        <v>274</v>
      </c>
      <c r="AG429" s="34">
        <v>2020</v>
      </c>
      <c r="AH429" s="35">
        <v>2020</v>
      </c>
      <c r="BZ429" s="71"/>
      <c r="CD429" s="20" t="e">
        <f t="shared" si="70"/>
        <v>#N/A</v>
      </c>
    </row>
    <row r="430" spans="1:82" ht="61.5" x14ac:dyDescent="0.85">
      <c r="A430" s="20">
        <v>1</v>
      </c>
      <c r="B430" s="66">
        <f>SUBTOTAL(103,$A$22:A430)</f>
        <v>372</v>
      </c>
      <c r="C430" s="24" t="s">
        <v>1268</v>
      </c>
      <c r="D430" s="31">
        <f t="shared" si="77"/>
        <v>5685725.29</v>
      </c>
      <c r="E430" s="31">
        <v>580158.97</v>
      </c>
      <c r="F430" s="31">
        <v>1111647.94</v>
      </c>
      <c r="G430" s="31">
        <v>3450030.95</v>
      </c>
      <c r="H430" s="31">
        <v>460275.88</v>
      </c>
      <c r="I430" s="31">
        <v>0</v>
      </c>
      <c r="J430" s="31">
        <v>0</v>
      </c>
      <c r="K430" s="33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f>ROUND((E430+F430+G430+H430+I430+J430)*1.4925%,2)</f>
        <v>83611.55</v>
      </c>
      <c r="AD430" s="31">
        <v>0</v>
      </c>
      <c r="AE430" s="31">
        <v>0</v>
      </c>
      <c r="AF430" s="34" t="s">
        <v>274</v>
      </c>
      <c r="AG430" s="34">
        <v>2020</v>
      </c>
      <c r="AH430" s="35">
        <v>2020</v>
      </c>
      <c r="BZ430" s="71"/>
      <c r="CD430" s="20" t="e">
        <f t="shared" si="70"/>
        <v>#N/A</v>
      </c>
    </row>
    <row r="431" spans="1:82" ht="61.5" x14ac:dyDescent="0.85">
      <c r="A431" s="20">
        <v>1</v>
      </c>
      <c r="B431" s="66">
        <f>SUBTOTAL(103,$A$22:A431)</f>
        <v>373</v>
      </c>
      <c r="C431" s="24" t="s">
        <v>1269</v>
      </c>
      <c r="D431" s="31">
        <f t="shared" si="77"/>
        <v>3267591.73</v>
      </c>
      <c r="E431" s="31">
        <v>0</v>
      </c>
      <c r="F431" s="31">
        <v>0</v>
      </c>
      <c r="G431" s="31">
        <v>3219540.09</v>
      </c>
      <c r="H431" s="31">
        <v>0</v>
      </c>
      <c r="I431" s="31">
        <v>0</v>
      </c>
      <c r="J431" s="31">
        <v>0</v>
      </c>
      <c r="K431" s="33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f>ROUND((E431+F431+G431+H431+I431+J431)*1.4925%,2)</f>
        <v>48051.64</v>
      </c>
      <c r="AD431" s="31">
        <v>0</v>
      </c>
      <c r="AE431" s="31">
        <v>0</v>
      </c>
      <c r="AF431" s="34" t="s">
        <v>274</v>
      </c>
      <c r="AG431" s="34">
        <v>2020</v>
      </c>
      <c r="AH431" s="35">
        <v>2020</v>
      </c>
      <c r="BZ431" s="71"/>
      <c r="CD431" s="20" t="e">
        <f t="shared" si="70"/>
        <v>#N/A</v>
      </c>
    </row>
    <row r="432" spans="1:82" ht="61.5" x14ac:dyDescent="0.85">
      <c r="A432" s="20">
        <v>1</v>
      </c>
      <c r="B432" s="66">
        <f>SUBTOTAL(103,$A$22:A432)</f>
        <v>374</v>
      </c>
      <c r="C432" s="24" t="s">
        <v>1270</v>
      </c>
      <c r="D432" s="31">
        <f t="shared" si="77"/>
        <v>9394873.7499999981</v>
      </c>
      <c r="E432" s="31">
        <v>807971.21</v>
      </c>
      <c r="F432" s="31">
        <v>2150667.5499999998</v>
      </c>
      <c r="G432" s="31">
        <f>2197143.37+28815.34</f>
        <v>2225958.71</v>
      </c>
      <c r="H432" s="31">
        <v>1345066.84</v>
      </c>
      <c r="I432" s="31">
        <v>2823224.32</v>
      </c>
      <c r="J432" s="31">
        <v>0</v>
      </c>
      <c r="K432" s="33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f>ROUND((E432+F432+G432+H432+I432+J432)*0.4489%,2)</f>
        <v>41985.120000000003</v>
      </c>
      <c r="AD432" s="31">
        <v>0</v>
      </c>
      <c r="AE432" s="31">
        <v>0</v>
      </c>
      <c r="AF432" s="34" t="s">
        <v>274</v>
      </c>
      <c r="AG432" s="34">
        <v>2020</v>
      </c>
      <c r="AH432" s="35">
        <v>2020</v>
      </c>
      <c r="BZ432" s="71"/>
      <c r="CD432" s="20" t="e">
        <f t="shared" si="70"/>
        <v>#N/A</v>
      </c>
    </row>
    <row r="433" spans="1:82" ht="61.5" x14ac:dyDescent="0.85">
      <c r="A433" s="20">
        <v>1</v>
      </c>
      <c r="B433" s="66">
        <f>SUBTOTAL(103,$A$22:A433)</f>
        <v>375</v>
      </c>
      <c r="C433" s="24" t="s">
        <v>1271</v>
      </c>
      <c r="D433" s="31">
        <f t="shared" si="77"/>
        <v>3633885.25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3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858.98</v>
      </c>
      <c r="R433" s="31">
        <v>3617645.64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f>ROUND(R433*0.4489%,2)</f>
        <v>16239.61</v>
      </c>
      <c r="AD433" s="31">
        <v>0</v>
      </c>
      <c r="AE433" s="31">
        <v>0</v>
      </c>
      <c r="AF433" s="34" t="s">
        <v>274</v>
      </c>
      <c r="AG433" s="34">
        <v>2020</v>
      </c>
      <c r="AH433" s="35">
        <v>2020</v>
      </c>
      <c r="BZ433" s="71"/>
      <c r="CD433" s="20" t="e">
        <f t="shared" si="70"/>
        <v>#N/A</v>
      </c>
    </row>
    <row r="434" spans="1:82" ht="61.5" x14ac:dyDescent="0.85">
      <c r="B434" s="24" t="s">
        <v>869</v>
      </c>
      <c r="C434" s="24"/>
      <c r="D434" s="31">
        <f>SUM(D435:D439)</f>
        <v>10749617.66</v>
      </c>
      <c r="E434" s="31">
        <f t="shared" ref="E434:AE434" si="78">SUM(E435:E439)</f>
        <v>167835.45</v>
      </c>
      <c r="F434" s="31">
        <f t="shared" si="78"/>
        <v>0</v>
      </c>
      <c r="G434" s="31">
        <f t="shared" si="78"/>
        <v>1461558.41</v>
      </c>
      <c r="H434" s="31">
        <f t="shared" si="78"/>
        <v>523667.25</v>
      </c>
      <c r="I434" s="31">
        <f t="shared" si="78"/>
        <v>618954.18000000005</v>
      </c>
      <c r="J434" s="31">
        <f t="shared" si="78"/>
        <v>0</v>
      </c>
      <c r="K434" s="33">
        <f t="shared" si="78"/>
        <v>0</v>
      </c>
      <c r="L434" s="31">
        <f t="shared" si="78"/>
        <v>0</v>
      </c>
      <c r="M434" s="31">
        <f t="shared" si="78"/>
        <v>2201.9</v>
      </c>
      <c r="N434" s="31">
        <f t="shared" si="78"/>
        <v>7825011.9399999995</v>
      </c>
      <c r="O434" s="31">
        <f t="shared" si="78"/>
        <v>0</v>
      </c>
      <c r="P434" s="31">
        <f t="shared" si="78"/>
        <v>0</v>
      </c>
      <c r="Q434" s="31">
        <f t="shared" si="78"/>
        <v>0</v>
      </c>
      <c r="R434" s="31">
        <f t="shared" si="78"/>
        <v>0</v>
      </c>
      <c r="S434" s="31">
        <f t="shared" si="78"/>
        <v>0</v>
      </c>
      <c r="T434" s="31">
        <f t="shared" si="78"/>
        <v>0</v>
      </c>
      <c r="U434" s="31">
        <f t="shared" si="78"/>
        <v>0</v>
      </c>
      <c r="V434" s="31">
        <f t="shared" si="78"/>
        <v>0</v>
      </c>
      <c r="W434" s="31">
        <f t="shared" si="78"/>
        <v>0</v>
      </c>
      <c r="X434" s="31">
        <f t="shared" si="78"/>
        <v>0</v>
      </c>
      <c r="Y434" s="31">
        <f t="shared" si="78"/>
        <v>0</v>
      </c>
      <c r="Z434" s="31">
        <f t="shared" si="78"/>
        <v>0</v>
      </c>
      <c r="AA434" s="31">
        <f t="shared" si="78"/>
        <v>0</v>
      </c>
      <c r="AB434" s="31">
        <f t="shared" si="78"/>
        <v>0</v>
      </c>
      <c r="AC434" s="31">
        <f t="shared" si="78"/>
        <v>152590.43</v>
      </c>
      <c r="AD434" s="31">
        <f t="shared" si="78"/>
        <v>0</v>
      </c>
      <c r="AE434" s="31">
        <f t="shared" si="78"/>
        <v>0</v>
      </c>
      <c r="AF434" s="72" t="s">
        <v>776</v>
      </c>
      <c r="AG434" s="72" t="s">
        <v>776</v>
      </c>
      <c r="AH434" s="88" t="s">
        <v>776</v>
      </c>
      <c r="AT434" s="20" t="e">
        <f>VLOOKUP(C434,AW:AX,2,FALSE)</f>
        <v>#N/A</v>
      </c>
      <c r="BZ434" s="71">
        <v>12742956.99</v>
      </c>
      <c r="CB434" s="71">
        <f>BZ434-D434</f>
        <v>1993339.33</v>
      </c>
      <c r="CD434" s="20" t="e">
        <f t="shared" si="70"/>
        <v>#N/A</v>
      </c>
    </row>
    <row r="435" spans="1:82" ht="61.5" x14ac:dyDescent="0.85">
      <c r="A435" s="20">
        <v>1</v>
      </c>
      <c r="B435" s="66">
        <f>SUBTOTAL(103,$A$22:A435)</f>
        <v>376</v>
      </c>
      <c r="C435" s="24" t="s">
        <v>44</v>
      </c>
      <c r="D435" s="31">
        <f>E435+F435+G435+H435+I435+J435+L435+N435+P435+R435+T435+U435+V435+W435+X435+Y435+Z435+AA435+AB435+AC435+AD435+AE435</f>
        <v>2250143.48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3">
        <v>0</v>
      </c>
      <c r="L435" s="31">
        <v>0</v>
      </c>
      <c r="M435" s="31">
        <v>631</v>
      </c>
      <c r="N435" s="31">
        <v>2219021.7000000002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31121.78</v>
      </c>
      <c r="AD435" s="31">
        <v>0</v>
      </c>
      <c r="AE435" s="31">
        <v>0</v>
      </c>
      <c r="AF435" s="34" t="s">
        <v>274</v>
      </c>
      <c r="AG435" s="34">
        <v>2020</v>
      </c>
      <c r="AH435" s="35">
        <v>2020</v>
      </c>
      <c r="AT435" s="20" t="e">
        <f>VLOOKUP(C435,AW:AX,2,FALSE)</f>
        <v>#N/A</v>
      </c>
      <c r="BZ435" s="71"/>
      <c r="CD435" s="20">
        <f t="shared" si="70"/>
        <v>631</v>
      </c>
    </row>
    <row r="436" spans="1:82" ht="61.5" x14ac:dyDescent="0.85">
      <c r="A436" s="20">
        <v>1</v>
      </c>
      <c r="B436" s="66">
        <f>SUBTOTAL(103,$A$22:A436)</f>
        <v>377</v>
      </c>
      <c r="C436" s="24" t="s">
        <v>43</v>
      </c>
      <c r="D436" s="31">
        <f>E436+F436+G436+H436+I436+J436+L436+N436+P436+R436+T436+U436+V436+W436+X436+Y436+Z436+AA436+AB436+AC436+AD436+AE436</f>
        <v>2167263.7000000002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3">
        <v>0</v>
      </c>
      <c r="L436" s="31">
        <v>0</v>
      </c>
      <c r="M436" s="31">
        <v>554.9</v>
      </c>
      <c r="N436" s="31">
        <v>2137288.23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29975.47</v>
      </c>
      <c r="AD436" s="31">
        <v>0</v>
      </c>
      <c r="AE436" s="31">
        <v>0</v>
      </c>
      <c r="AF436" s="34" t="s">
        <v>274</v>
      </c>
      <c r="AG436" s="34">
        <v>2020</v>
      </c>
      <c r="AH436" s="35">
        <v>2020</v>
      </c>
      <c r="AT436" s="20" t="e">
        <f>VLOOKUP(C436,AW:AX,2,FALSE)</f>
        <v>#N/A</v>
      </c>
      <c r="BZ436" s="71"/>
      <c r="CD436" s="20">
        <f t="shared" si="70"/>
        <v>566</v>
      </c>
    </row>
    <row r="437" spans="1:82" ht="61.5" x14ac:dyDescent="0.85">
      <c r="A437" s="20">
        <v>1</v>
      </c>
      <c r="B437" s="66">
        <f>SUBTOTAL(103,$A$22:A437)</f>
        <v>378</v>
      </c>
      <c r="C437" s="24" t="s">
        <v>45</v>
      </c>
      <c r="D437" s="31">
        <f>E437+F437+G437+H437+I437+J437+L437+N437+P437+R437+T437+U437+V437+W437+X437+Y437+Z437+AA437+AB437+AC437+AD437+AE437</f>
        <v>2202329.54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3">
        <v>0</v>
      </c>
      <c r="L437" s="31">
        <v>0</v>
      </c>
      <c r="M437" s="31">
        <v>562</v>
      </c>
      <c r="N437" s="31">
        <v>2171869.08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30460.46</v>
      </c>
      <c r="AD437" s="31">
        <v>0</v>
      </c>
      <c r="AE437" s="31">
        <v>0</v>
      </c>
      <c r="AF437" s="34" t="s">
        <v>274</v>
      </c>
      <c r="AG437" s="34">
        <v>2020</v>
      </c>
      <c r="AH437" s="35">
        <v>2020</v>
      </c>
      <c r="AT437" s="20" t="e">
        <f>VLOOKUP(C437,AW:AX,2,FALSE)</f>
        <v>#N/A</v>
      </c>
      <c r="BZ437" s="71"/>
      <c r="CD437" s="20">
        <f t="shared" si="70"/>
        <v>562</v>
      </c>
    </row>
    <row r="438" spans="1:82" ht="61.5" x14ac:dyDescent="0.85">
      <c r="A438" s="20">
        <v>1</v>
      </c>
      <c r="B438" s="66">
        <f>SUBTOTAL(103,$A$22:A438)</f>
        <v>379</v>
      </c>
      <c r="C438" s="24" t="s">
        <v>1277</v>
      </c>
      <c r="D438" s="31">
        <f>E438+F438+G438+H438+I438+J438+L438+N438+P438+R438+T438+U438+V438+W438+X438+Y438+Z438+AA438+AB438+AC438+AD438+AE438</f>
        <v>2813595.52</v>
      </c>
      <c r="E438" s="31">
        <v>167835.45</v>
      </c>
      <c r="F438" s="31">
        <v>0</v>
      </c>
      <c r="G438" s="31">
        <v>1461558.41</v>
      </c>
      <c r="H438" s="31">
        <v>523667.25</v>
      </c>
      <c r="I438" s="31">
        <v>618954.18000000005</v>
      </c>
      <c r="J438" s="31">
        <v>0</v>
      </c>
      <c r="K438" s="33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f>ROUND((E438+F438+G438+H438+I438+J438)*1.5%,2)</f>
        <v>41580.230000000003</v>
      </c>
      <c r="AD438" s="31">
        <v>0</v>
      </c>
      <c r="AE438" s="31">
        <v>0</v>
      </c>
      <c r="AF438" s="34" t="s">
        <v>274</v>
      </c>
      <c r="AG438" s="34">
        <v>2020</v>
      </c>
      <c r="AH438" s="35">
        <v>2020</v>
      </c>
      <c r="BZ438" s="71"/>
      <c r="CD438" s="20" t="e">
        <f t="shared" si="70"/>
        <v>#N/A</v>
      </c>
    </row>
    <row r="439" spans="1:82" ht="61.5" x14ac:dyDescent="0.85">
      <c r="A439" s="20">
        <v>1</v>
      </c>
      <c r="B439" s="66">
        <f>SUBTOTAL(103,$A$22:A439)</f>
        <v>380</v>
      </c>
      <c r="C439" s="24" t="s">
        <v>1278</v>
      </c>
      <c r="D439" s="31">
        <f>E439+F439+G439+H439+I439+J439+L439+N439+P439+R439+T439+U439+V439+W439+X439+Y439+Z439+AA439+AB439+AC439+AD439+AE439</f>
        <v>1316285.42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3">
        <v>0</v>
      </c>
      <c r="L439" s="31">
        <v>0</v>
      </c>
      <c r="M439" s="31">
        <v>454</v>
      </c>
      <c r="N439" s="31">
        <v>1296832.93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f>ROUND(N439*1.5%,2)</f>
        <v>19452.490000000002</v>
      </c>
      <c r="AD439" s="31">
        <v>0</v>
      </c>
      <c r="AE439" s="31">
        <v>0</v>
      </c>
      <c r="AF439" s="34" t="s">
        <v>274</v>
      </c>
      <c r="AG439" s="34">
        <v>2020</v>
      </c>
      <c r="AH439" s="35">
        <v>2020</v>
      </c>
      <c r="BZ439" s="71"/>
      <c r="CD439" s="20">
        <f t="shared" si="70"/>
        <v>454</v>
      </c>
    </row>
    <row r="440" spans="1:82" ht="61.5" x14ac:dyDescent="0.85">
      <c r="B440" s="24" t="s">
        <v>870</v>
      </c>
      <c r="C440" s="24"/>
      <c r="D440" s="31">
        <f>D441+D442</f>
        <v>5174634.9800000004</v>
      </c>
      <c r="E440" s="31">
        <f t="shared" ref="E440:AE440" si="79">E441+E442</f>
        <v>0</v>
      </c>
      <c r="F440" s="31">
        <f t="shared" si="79"/>
        <v>0</v>
      </c>
      <c r="G440" s="31">
        <f t="shared" si="79"/>
        <v>0</v>
      </c>
      <c r="H440" s="31">
        <f t="shared" si="79"/>
        <v>0</v>
      </c>
      <c r="I440" s="31">
        <f t="shared" si="79"/>
        <v>0</v>
      </c>
      <c r="J440" s="31">
        <f t="shared" si="79"/>
        <v>0</v>
      </c>
      <c r="K440" s="33">
        <f t="shared" si="79"/>
        <v>0</v>
      </c>
      <c r="L440" s="31">
        <f t="shared" si="79"/>
        <v>0</v>
      </c>
      <c r="M440" s="31">
        <f t="shared" si="79"/>
        <v>1342.3899999999999</v>
      </c>
      <c r="N440" s="31">
        <f t="shared" si="79"/>
        <v>5095125.3600000003</v>
      </c>
      <c r="O440" s="31">
        <f t="shared" si="79"/>
        <v>0</v>
      </c>
      <c r="P440" s="31">
        <f t="shared" si="79"/>
        <v>0</v>
      </c>
      <c r="Q440" s="31">
        <f t="shared" si="79"/>
        <v>0</v>
      </c>
      <c r="R440" s="31">
        <f t="shared" si="79"/>
        <v>0</v>
      </c>
      <c r="S440" s="31">
        <f t="shared" si="79"/>
        <v>0</v>
      </c>
      <c r="T440" s="31">
        <f t="shared" si="79"/>
        <v>0</v>
      </c>
      <c r="U440" s="31">
        <f t="shared" si="79"/>
        <v>0</v>
      </c>
      <c r="V440" s="31">
        <f t="shared" si="79"/>
        <v>0</v>
      </c>
      <c r="W440" s="31">
        <f t="shared" si="79"/>
        <v>0</v>
      </c>
      <c r="X440" s="31">
        <f t="shared" si="79"/>
        <v>0</v>
      </c>
      <c r="Y440" s="31">
        <f t="shared" si="79"/>
        <v>0</v>
      </c>
      <c r="Z440" s="31">
        <f t="shared" si="79"/>
        <v>0</v>
      </c>
      <c r="AA440" s="31">
        <f t="shared" si="79"/>
        <v>0</v>
      </c>
      <c r="AB440" s="31">
        <f t="shared" si="79"/>
        <v>0</v>
      </c>
      <c r="AC440" s="31">
        <f t="shared" si="79"/>
        <v>79509.62</v>
      </c>
      <c r="AD440" s="31">
        <f t="shared" si="79"/>
        <v>0</v>
      </c>
      <c r="AE440" s="31">
        <f t="shared" si="79"/>
        <v>0</v>
      </c>
      <c r="AF440" s="72" t="s">
        <v>776</v>
      </c>
      <c r="AG440" s="72" t="s">
        <v>776</v>
      </c>
      <c r="AH440" s="88" t="s">
        <v>776</v>
      </c>
      <c r="AT440" s="20" t="e">
        <f>VLOOKUP(C440,AW:AX,2,FALSE)</f>
        <v>#N/A</v>
      </c>
      <c r="BZ440" s="71">
        <v>6025381.3300000001</v>
      </c>
      <c r="CD440" s="20" t="e">
        <f t="shared" si="70"/>
        <v>#N/A</v>
      </c>
    </row>
    <row r="441" spans="1:82" ht="61.5" x14ac:dyDescent="0.85">
      <c r="A441" s="20">
        <v>1</v>
      </c>
      <c r="B441" s="66">
        <f>SUBTOTAL(103,$A$22:A441)</f>
        <v>381</v>
      </c>
      <c r="C441" s="24" t="s">
        <v>42</v>
      </c>
      <c r="D441" s="31">
        <f>E441+F441+G441+H441+I441+J441+L441+N441+P441+R441+T441+U441+V441+W441+X441+Y441+Z441+AA441+AB441+AC441+AD441+AE441</f>
        <v>2212562.2000000002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3">
        <v>0</v>
      </c>
      <c r="L441" s="31">
        <v>0</v>
      </c>
      <c r="M441" s="31">
        <v>595.09</v>
      </c>
      <c r="N441" s="31">
        <v>2179864.2400000002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0</v>
      </c>
      <c r="U441" s="31">
        <v>0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0</v>
      </c>
      <c r="AC441" s="31">
        <f>ROUND(N441*1.5%,2)</f>
        <v>32697.96</v>
      </c>
      <c r="AD441" s="31">
        <v>0</v>
      </c>
      <c r="AE441" s="31">
        <v>0</v>
      </c>
      <c r="AF441" s="34" t="s">
        <v>274</v>
      </c>
      <c r="AG441" s="34">
        <v>2020</v>
      </c>
      <c r="AH441" s="35">
        <v>2020</v>
      </c>
      <c r="AT441" s="20" t="e">
        <f>VLOOKUP(C441,AW:AX,2,FALSE)</f>
        <v>#N/A</v>
      </c>
      <c r="BZ441" s="71"/>
      <c r="CD441" s="20">
        <f t="shared" si="70"/>
        <v>595</v>
      </c>
    </row>
    <row r="442" spans="1:82" ht="61.5" x14ac:dyDescent="0.85">
      <c r="A442" s="20">
        <v>1</v>
      </c>
      <c r="B442" s="66">
        <f>SUBTOTAL(103,$A$22:A442)</f>
        <v>382</v>
      </c>
      <c r="C442" s="24" t="s">
        <v>1598</v>
      </c>
      <c r="D442" s="31">
        <f>E442+F442+G442+H442+I442+J442+L442+N442+P442+R442+T442+U442+V442+W442+X442+Y442+Z442+AA442+AB442+AC442+AD442+AE442</f>
        <v>2962072.7800000003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3">
        <v>0</v>
      </c>
      <c r="L442" s="31">
        <v>0</v>
      </c>
      <c r="M442" s="31">
        <v>747.3</v>
      </c>
      <c r="N442" s="31">
        <v>2915261.12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46811.66</v>
      </c>
      <c r="AD442" s="31">
        <v>0</v>
      </c>
      <c r="AE442" s="31">
        <v>0</v>
      </c>
      <c r="AF442" s="34" t="s">
        <v>274</v>
      </c>
      <c r="AG442" s="34">
        <v>2020</v>
      </c>
      <c r="AH442" s="35">
        <v>2020</v>
      </c>
      <c r="BZ442" s="71"/>
      <c r="CD442" s="20">
        <f t="shared" si="70"/>
        <v>747.3</v>
      </c>
    </row>
    <row r="443" spans="1:82" ht="61.5" x14ac:dyDescent="0.85">
      <c r="B443" s="24" t="s">
        <v>871</v>
      </c>
      <c r="C443" s="24"/>
      <c r="D443" s="31">
        <f>SUM(D444:D452)</f>
        <v>28248063.09</v>
      </c>
      <c r="E443" s="31">
        <f t="shared" ref="E443:AE443" si="80">SUM(E444:E452)</f>
        <v>0</v>
      </c>
      <c r="F443" s="31">
        <f t="shared" si="80"/>
        <v>0</v>
      </c>
      <c r="G443" s="31">
        <f t="shared" si="80"/>
        <v>0</v>
      </c>
      <c r="H443" s="31">
        <f t="shared" si="80"/>
        <v>0</v>
      </c>
      <c r="I443" s="31">
        <f t="shared" si="80"/>
        <v>0</v>
      </c>
      <c r="J443" s="31">
        <f t="shared" si="80"/>
        <v>0</v>
      </c>
      <c r="K443" s="33">
        <f t="shared" si="80"/>
        <v>0</v>
      </c>
      <c r="L443" s="31">
        <f t="shared" si="80"/>
        <v>0</v>
      </c>
      <c r="M443" s="31">
        <f t="shared" si="80"/>
        <v>5631.85</v>
      </c>
      <c r="N443" s="31">
        <f t="shared" si="80"/>
        <v>23103115.189999998</v>
      </c>
      <c r="O443" s="31">
        <f t="shared" si="80"/>
        <v>0</v>
      </c>
      <c r="P443" s="31">
        <f t="shared" si="80"/>
        <v>0</v>
      </c>
      <c r="Q443" s="31">
        <f t="shared" si="80"/>
        <v>2886.45</v>
      </c>
      <c r="R443" s="31">
        <f t="shared" si="80"/>
        <v>4308518.51</v>
      </c>
      <c r="S443" s="31">
        <f t="shared" si="80"/>
        <v>0</v>
      </c>
      <c r="T443" s="31">
        <f t="shared" si="80"/>
        <v>0</v>
      </c>
      <c r="U443" s="31">
        <f t="shared" si="80"/>
        <v>0</v>
      </c>
      <c r="V443" s="31">
        <f t="shared" si="80"/>
        <v>0</v>
      </c>
      <c r="W443" s="31">
        <f t="shared" si="80"/>
        <v>0</v>
      </c>
      <c r="X443" s="31">
        <f t="shared" si="80"/>
        <v>0</v>
      </c>
      <c r="Y443" s="31">
        <f t="shared" si="80"/>
        <v>0</v>
      </c>
      <c r="Z443" s="31">
        <f t="shared" si="80"/>
        <v>0</v>
      </c>
      <c r="AA443" s="31">
        <f t="shared" si="80"/>
        <v>0</v>
      </c>
      <c r="AB443" s="31">
        <f t="shared" si="80"/>
        <v>0</v>
      </c>
      <c r="AC443" s="31">
        <f t="shared" si="80"/>
        <v>405808.33000000007</v>
      </c>
      <c r="AD443" s="31">
        <f t="shared" si="80"/>
        <v>430621.06</v>
      </c>
      <c r="AE443" s="31">
        <f t="shared" si="80"/>
        <v>0</v>
      </c>
      <c r="AF443" s="72" t="s">
        <v>776</v>
      </c>
      <c r="AG443" s="72" t="s">
        <v>776</v>
      </c>
      <c r="AH443" s="88" t="s">
        <v>776</v>
      </c>
      <c r="AT443" s="20" t="e">
        <f>VLOOKUP(C443,AW:AX,2,FALSE)</f>
        <v>#N/A</v>
      </c>
      <c r="BZ443" s="71">
        <v>29961094.709999993</v>
      </c>
      <c r="CD443" s="20" t="e">
        <f t="shared" si="70"/>
        <v>#N/A</v>
      </c>
    </row>
    <row r="444" spans="1:82" ht="61.5" x14ac:dyDescent="0.85">
      <c r="A444" s="20">
        <v>1</v>
      </c>
      <c r="B444" s="66">
        <f>SUBTOTAL(103,$A$22:A444)</f>
        <v>383</v>
      </c>
      <c r="C444" s="24" t="s">
        <v>50</v>
      </c>
      <c r="D444" s="31">
        <f t="shared" ref="D444:D452" si="81">E444+F444+G444+H444+I444+J444+L444+N444+P444+R444+T444+U444+V444+W444+X444+Y444+Z444+AA444+AB444+AC444+AD444+AE444</f>
        <v>5017460.6800000006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3">
        <v>0</v>
      </c>
      <c r="L444" s="31">
        <v>0</v>
      </c>
      <c r="M444" s="31">
        <v>867.3</v>
      </c>
      <c r="N444" s="31">
        <f>4314154.82+500000</f>
        <v>4814154.82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f t="shared" ref="AC444:AC449" si="82">ROUND(N444*1.5%,2)</f>
        <v>72212.320000000007</v>
      </c>
      <c r="AD444" s="31">
        <v>131093.54</v>
      </c>
      <c r="AE444" s="31">
        <v>0</v>
      </c>
      <c r="AF444" s="34">
        <v>2020</v>
      </c>
      <c r="AG444" s="34">
        <v>2020</v>
      </c>
      <c r="AH444" s="35">
        <v>2020</v>
      </c>
      <c r="AT444" s="20" t="e">
        <f>VLOOKUP(C444,AW:AX,2,FALSE)</f>
        <v>#N/A</v>
      </c>
      <c r="BZ444" s="71"/>
      <c r="CD444" s="20" t="e">
        <f t="shared" si="70"/>
        <v>#N/A</v>
      </c>
    </row>
    <row r="445" spans="1:82" ht="61.5" x14ac:dyDescent="0.85">
      <c r="A445" s="20">
        <v>1</v>
      </c>
      <c r="B445" s="66">
        <f>SUBTOTAL(103,$A$22:A445)</f>
        <v>384</v>
      </c>
      <c r="C445" s="24" t="s">
        <v>48</v>
      </c>
      <c r="D445" s="31">
        <f t="shared" si="81"/>
        <v>2810575.6300000004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3">
        <v>0</v>
      </c>
      <c r="L445" s="31">
        <v>0</v>
      </c>
      <c r="M445" s="31">
        <v>652.70000000000005</v>
      </c>
      <c r="N445" s="31">
        <v>2689261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37716.89</v>
      </c>
      <c r="AD445" s="31">
        <v>83597.740000000005</v>
      </c>
      <c r="AE445" s="31">
        <v>0</v>
      </c>
      <c r="AF445" s="34">
        <v>2020</v>
      </c>
      <c r="AG445" s="34">
        <v>2020</v>
      </c>
      <c r="AH445" s="35">
        <v>2020</v>
      </c>
      <c r="AT445" s="20" t="e">
        <f>VLOOKUP(C445,AW:AX,2,FALSE)</f>
        <v>#N/A</v>
      </c>
      <c r="BZ445" s="71"/>
      <c r="CD445" s="20" t="e">
        <f t="shared" si="70"/>
        <v>#N/A</v>
      </c>
    </row>
    <row r="446" spans="1:82" ht="61.5" x14ac:dyDescent="0.85">
      <c r="A446" s="20">
        <v>1</v>
      </c>
      <c r="B446" s="66">
        <f>SUBTOTAL(103,$A$22:A446)</f>
        <v>385</v>
      </c>
      <c r="C446" s="24" t="s">
        <v>49</v>
      </c>
      <c r="D446" s="31">
        <f t="shared" si="81"/>
        <v>5245064.0000000009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3">
        <v>0</v>
      </c>
      <c r="L446" s="31">
        <v>0</v>
      </c>
      <c r="M446" s="31">
        <v>896.9</v>
      </c>
      <c r="N446" s="31">
        <f>4466435.88+572013.77</f>
        <v>5038449.6500000004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f t="shared" si="82"/>
        <v>75576.740000000005</v>
      </c>
      <c r="AD446" s="31">
        <v>131037.61</v>
      </c>
      <c r="AE446" s="31">
        <v>0</v>
      </c>
      <c r="AF446" s="34">
        <v>2020</v>
      </c>
      <c r="AG446" s="34">
        <v>2020</v>
      </c>
      <c r="AH446" s="35">
        <v>2020</v>
      </c>
      <c r="AT446" s="20">
        <f>VLOOKUP(C446,AW:AX,2,FALSE)</f>
        <v>1</v>
      </c>
      <c r="BZ446" s="71"/>
      <c r="CD446" s="20" t="e">
        <f t="shared" si="70"/>
        <v>#N/A</v>
      </c>
    </row>
    <row r="447" spans="1:82" ht="61.5" x14ac:dyDescent="0.85">
      <c r="A447" s="20">
        <v>1</v>
      </c>
      <c r="B447" s="66">
        <f>SUBTOTAL(103,$A$22:A447)</f>
        <v>386</v>
      </c>
      <c r="C447" s="24" t="s">
        <v>51</v>
      </c>
      <c r="D447" s="31">
        <f t="shared" si="81"/>
        <v>2938871.62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3">
        <v>0</v>
      </c>
      <c r="L447" s="31">
        <v>0</v>
      </c>
      <c r="M447" s="31">
        <v>681</v>
      </c>
      <c r="N447" s="31">
        <v>2814506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39473.449999999997</v>
      </c>
      <c r="AD447" s="31">
        <v>84892.17</v>
      </c>
      <c r="AE447" s="31">
        <v>0</v>
      </c>
      <c r="AF447" s="34">
        <v>2020</v>
      </c>
      <c r="AG447" s="34">
        <v>2020</v>
      </c>
      <c r="AH447" s="35">
        <v>2020</v>
      </c>
      <c r="AT447" s="20" t="e">
        <f>VLOOKUP(C447,AW:AX,2,FALSE)</f>
        <v>#N/A</v>
      </c>
      <c r="BZ447" s="71"/>
      <c r="CD447" s="20" t="e">
        <f t="shared" si="70"/>
        <v>#N/A</v>
      </c>
    </row>
    <row r="448" spans="1:82" ht="61.5" x14ac:dyDescent="0.85">
      <c r="A448" s="20">
        <v>1</v>
      </c>
      <c r="B448" s="66">
        <f>SUBTOTAL(103,$A$22:A448)</f>
        <v>387</v>
      </c>
      <c r="C448" s="24" t="s">
        <v>1272</v>
      </c>
      <c r="D448" s="31">
        <f t="shared" si="81"/>
        <v>3146286.42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3">
        <v>0</v>
      </c>
      <c r="L448" s="31">
        <v>0</v>
      </c>
      <c r="M448" s="31">
        <v>678.5</v>
      </c>
      <c r="N448" s="31">
        <v>3099789.58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f t="shared" si="82"/>
        <v>46496.84</v>
      </c>
      <c r="AD448" s="31">
        <v>0</v>
      </c>
      <c r="AE448" s="31">
        <v>0</v>
      </c>
      <c r="AF448" s="34" t="s">
        <v>274</v>
      </c>
      <c r="AG448" s="34">
        <v>2020</v>
      </c>
      <c r="AH448" s="35">
        <v>2020</v>
      </c>
      <c r="BZ448" s="71"/>
      <c r="CD448" s="20">
        <f t="shared" si="70"/>
        <v>678.5</v>
      </c>
    </row>
    <row r="449" spans="1:82" ht="61.5" x14ac:dyDescent="0.85">
      <c r="A449" s="20">
        <v>1</v>
      </c>
      <c r="B449" s="66">
        <f>SUBTOTAL(103,$A$22:A449)</f>
        <v>388</v>
      </c>
      <c r="C449" s="24" t="s">
        <v>1273</v>
      </c>
      <c r="D449" s="31">
        <f t="shared" si="81"/>
        <v>2695968.78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3">
        <v>0</v>
      </c>
      <c r="L449" s="31">
        <v>0</v>
      </c>
      <c r="M449" s="31">
        <v>1273.99</v>
      </c>
      <c r="N449" s="31">
        <v>2656126.88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f t="shared" si="82"/>
        <v>39841.9</v>
      </c>
      <c r="AD449" s="31">
        <v>0</v>
      </c>
      <c r="AE449" s="31">
        <v>0</v>
      </c>
      <c r="AF449" s="34" t="s">
        <v>274</v>
      </c>
      <c r="AG449" s="34">
        <v>2020</v>
      </c>
      <c r="AH449" s="35">
        <v>2020</v>
      </c>
      <c r="BZ449" s="71"/>
      <c r="CD449" s="20">
        <f t="shared" si="70"/>
        <v>1278.8</v>
      </c>
    </row>
    <row r="450" spans="1:82" ht="61.5" x14ac:dyDescent="0.85">
      <c r="A450" s="20">
        <v>1</v>
      </c>
      <c r="B450" s="66">
        <f>SUBTOTAL(103,$A$22:A450)</f>
        <v>389</v>
      </c>
      <c r="C450" s="24" t="s">
        <v>1274</v>
      </c>
      <c r="D450" s="31">
        <f t="shared" si="81"/>
        <v>4373146.29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3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2886.45</v>
      </c>
      <c r="R450" s="31">
        <v>4308518.51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f>ROUND(R450*1.5%,2)</f>
        <v>64627.78</v>
      </c>
      <c r="AD450" s="31">
        <v>0</v>
      </c>
      <c r="AE450" s="31">
        <v>0</v>
      </c>
      <c r="AF450" s="34" t="s">
        <v>274</v>
      </c>
      <c r="AG450" s="34">
        <v>2020</v>
      </c>
      <c r="AH450" s="35">
        <v>2020</v>
      </c>
      <c r="BZ450" s="71"/>
      <c r="CD450" s="20" t="e">
        <f t="shared" si="70"/>
        <v>#N/A</v>
      </c>
    </row>
    <row r="451" spans="1:82" ht="61.5" x14ac:dyDescent="0.85">
      <c r="A451" s="20">
        <v>1</v>
      </c>
      <c r="B451" s="66">
        <f>SUBTOTAL(103,$A$22:A451)</f>
        <v>390</v>
      </c>
      <c r="C451" s="24" t="s">
        <v>1275</v>
      </c>
      <c r="D451" s="31">
        <f t="shared" si="81"/>
        <v>800120.67999999993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3">
        <v>0</v>
      </c>
      <c r="L451" s="31">
        <v>0</v>
      </c>
      <c r="M451" s="31">
        <v>234</v>
      </c>
      <c r="N451" s="31">
        <v>788296.24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f>ROUND(N451*1.5%,2)</f>
        <v>11824.44</v>
      </c>
      <c r="AD451" s="31">
        <v>0</v>
      </c>
      <c r="AE451" s="31">
        <v>0</v>
      </c>
      <c r="AF451" s="34" t="s">
        <v>274</v>
      </c>
      <c r="AG451" s="34">
        <v>2020</v>
      </c>
      <c r="AH451" s="35">
        <v>2020</v>
      </c>
      <c r="BZ451" s="71"/>
      <c r="CD451" s="20">
        <f t="shared" si="70"/>
        <v>225.04</v>
      </c>
    </row>
    <row r="452" spans="1:82" ht="61.5" x14ac:dyDescent="0.85">
      <c r="A452" s="20">
        <v>1</v>
      </c>
      <c r="B452" s="66">
        <f>SUBTOTAL(103,$A$22:A452)</f>
        <v>391</v>
      </c>
      <c r="C452" s="24" t="s">
        <v>1276</v>
      </c>
      <c r="D452" s="31">
        <f t="shared" si="81"/>
        <v>1220568.99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3">
        <v>0</v>
      </c>
      <c r="L452" s="31">
        <v>0</v>
      </c>
      <c r="M452" s="31">
        <v>347.46</v>
      </c>
      <c r="N452" s="31">
        <v>1202531.02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f>ROUND(N452*1.5%,2)</f>
        <v>18037.97</v>
      </c>
      <c r="AD452" s="31">
        <v>0</v>
      </c>
      <c r="AE452" s="31">
        <v>0</v>
      </c>
      <c r="AF452" s="34" t="s">
        <v>274</v>
      </c>
      <c r="AG452" s="34">
        <v>2020</v>
      </c>
      <c r="AH452" s="35">
        <v>2020</v>
      </c>
      <c r="BZ452" s="71"/>
      <c r="CD452" s="20">
        <f t="shared" si="70"/>
        <v>337</v>
      </c>
    </row>
    <row r="453" spans="1:82" ht="61.5" x14ac:dyDescent="0.85">
      <c r="B453" s="24" t="s">
        <v>901</v>
      </c>
      <c r="C453" s="129"/>
      <c r="D453" s="31">
        <f>D454</f>
        <v>2521615.3599999999</v>
      </c>
      <c r="E453" s="31">
        <f t="shared" ref="E453:AE453" si="83">E454</f>
        <v>0</v>
      </c>
      <c r="F453" s="31">
        <f t="shared" si="83"/>
        <v>0</v>
      </c>
      <c r="G453" s="31">
        <f t="shared" si="83"/>
        <v>0</v>
      </c>
      <c r="H453" s="31">
        <f t="shared" si="83"/>
        <v>0</v>
      </c>
      <c r="I453" s="31">
        <f t="shared" si="83"/>
        <v>0</v>
      </c>
      <c r="J453" s="31">
        <f t="shared" si="83"/>
        <v>0</v>
      </c>
      <c r="K453" s="33">
        <f t="shared" si="83"/>
        <v>0</v>
      </c>
      <c r="L453" s="31">
        <f t="shared" si="83"/>
        <v>0</v>
      </c>
      <c r="M453" s="31">
        <f t="shared" si="83"/>
        <v>511.8</v>
      </c>
      <c r="N453" s="31">
        <f t="shared" si="83"/>
        <v>2366123.5099999998</v>
      </c>
      <c r="O453" s="31">
        <f t="shared" si="83"/>
        <v>0</v>
      </c>
      <c r="P453" s="31">
        <f t="shared" si="83"/>
        <v>0</v>
      </c>
      <c r="Q453" s="31">
        <f t="shared" si="83"/>
        <v>0</v>
      </c>
      <c r="R453" s="31">
        <f t="shared" si="83"/>
        <v>0</v>
      </c>
      <c r="S453" s="31">
        <f t="shared" si="83"/>
        <v>0</v>
      </c>
      <c r="T453" s="31">
        <f t="shared" si="83"/>
        <v>0</v>
      </c>
      <c r="U453" s="31">
        <f t="shared" si="83"/>
        <v>0</v>
      </c>
      <c r="V453" s="31">
        <f t="shared" si="83"/>
        <v>0</v>
      </c>
      <c r="W453" s="31">
        <f t="shared" si="83"/>
        <v>0</v>
      </c>
      <c r="X453" s="31">
        <f t="shared" si="83"/>
        <v>0</v>
      </c>
      <c r="Y453" s="31">
        <f t="shared" si="83"/>
        <v>0</v>
      </c>
      <c r="Z453" s="31">
        <f t="shared" si="83"/>
        <v>0</v>
      </c>
      <c r="AA453" s="31">
        <f t="shared" si="83"/>
        <v>0</v>
      </c>
      <c r="AB453" s="31">
        <f t="shared" si="83"/>
        <v>0</v>
      </c>
      <c r="AC453" s="31">
        <f t="shared" si="83"/>
        <v>35491.85</v>
      </c>
      <c r="AD453" s="31">
        <f t="shared" si="83"/>
        <v>0</v>
      </c>
      <c r="AE453" s="31">
        <f t="shared" si="83"/>
        <v>120000</v>
      </c>
      <c r="AF453" s="72" t="s">
        <v>776</v>
      </c>
      <c r="AG453" s="72" t="s">
        <v>776</v>
      </c>
      <c r="AH453" s="88" t="s">
        <v>776</v>
      </c>
      <c r="BZ453" s="71">
        <v>2521615.3599999999</v>
      </c>
      <c r="CD453" s="20" t="e">
        <f t="shared" si="70"/>
        <v>#N/A</v>
      </c>
    </row>
    <row r="454" spans="1:82" ht="61.5" x14ac:dyDescent="0.85">
      <c r="A454" s="20">
        <v>1</v>
      </c>
      <c r="B454" s="66">
        <f>SUBTOTAL(103,$A$22:A454)</f>
        <v>392</v>
      </c>
      <c r="C454" s="24" t="s">
        <v>1280</v>
      </c>
      <c r="D454" s="31">
        <f>E454+F454+G454+H454+I454+J454+L454+N454+P454+R454+T454+U454+V454+W454+X454+Y454+Z454+AA454+AB454+AC454+AD454+AE454</f>
        <v>2521615.3599999999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3">
        <v>0</v>
      </c>
      <c r="L454" s="31">
        <v>0</v>
      </c>
      <c r="M454" s="31">
        <v>511.8</v>
      </c>
      <c r="N454" s="31">
        <f>2095100.24+271023.27</f>
        <v>2366123.5099999998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f>ROUND(N454*1.5%,2)</f>
        <v>35491.85</v>
      </c>
      <c r="AD454" s="31">
        <v>0</v>
      </c>
      <c r="AE454" s="31">
        <v>120000</v>
      </c>
      <c r="AF454" s="34" t="s">
        <v>274</v>
      </c>
      <c r="AG454" s="34">
        <v>2020</v>
      </c>
      <c r="AH454" s="35">
        <v>2020</v>
      </c>
      <c r="BZ454" s="71"/>
      <c r="CD454" s="20">
        <f t="shared" si="70"/>
        <v>511.8</v>
      </c>
    </row>
    <row r="455" spans="1:82" ht="61.5" x14ac:dyDescent="0.85">
      <c r="B455" s="24" t="s">
        <v>908</v>
      </c>
      <c r="C455" s="24"/>
      <c r="D455" s="31">
        <f>D456</f>
        <v>3623254.4499999997</v>
      </c>
      <c r="E455" s="31">
        <f t="shared" ref="E455:AE455" si="84">E456</f>
        <v>0</v>
      </c>
      <c r="F455" s="31">
        <f t="shared" si="84"/>
        <v>0</v>
      </c>
      <c r="G455" s="31">
        <f t="shared" si="84"/>
        <v>0</v>
      </c>
      <c r="H455" s="31">
        <f t="shared" si="84"/>
        <v>0</v>
      </c>
      <c r="I455" s="31">
        <f t="shared" si="84"/>
        <v>0</v>
      </c>
      <c r="J455" s="31">
        <f t="shared" si="84"/>
        <v>0</v>
      </c>
      <c r="K455" s="33">
        <f t="shared" si="84"/>
        <v>0</v>
      </c>
      <c r="L455" s="31">
        <f t="shared" si="84"/>
        <v>0</v>
      </c>
      <c r="M455" s="31">
        <f t="shared" si="84"/>
        <v>837.3</v>
      </c>
      <c r="N455" s="31">
        <f t="shared" si="84"/>
        <v>3606600.61</v>
      </c>
      <c r="O455" s="31">
        <f t="shared" si="84"/>
        <v>0</v>
      </c>
      <c r="P455" s="31">
        <f t="shared" si="84"/>
        <v>0</v>
      </c>
      <c r="Q455" s="31">
        <f t="shared" si="84"/>
        <v>0</v>
      </c>
      <c r="R455" s="31">
        <f t="shared" si="84"/>
        <v>0</v>
      </c>
      <c r="S455" s="31">
        <f t="shared" si="84"/>
        <v>0</v>
      </c>
      <c r="T455" s="31">
        <f t="shared" si="84"/>
        <v>0</v>
      </c>
      <c r="U455" s="31">
        <f t="shared" si="84"/>
        <v>0</v>
      </c>
      <c r="V455" s="31">
        <f t="shared" si="84"/>
        <v>0</v>
      </c>
      <c r="W455" s="31">
        <f t="shared" si="84"/>
        <v>0</v>
      </c>
      <c r="X455" s="31">
        <f t="shared" si="84"/>
        <v>0</v>
      </c>
      <c r="Y455" s="31">
        <f t="shared" si="84"/>
        <v>0</v>
      </c>
      <c r="Z455" s="31">
        <f t="shared" si="84"/>
        <v>0</v>
      </c>
      <c r="AA455" s="31">
        <f t="shared" si="84"/>
        <v>0</v>
      </c>
      <c r="AB455" s="31">
        <f t="shared" si="84"/>
        <v>0</v>
      </c>
      <c r="AC455" s="31">
        <f t="shared" si="84"/>
        <v>16653.84</v>
      </c>
      <c r="AD455" s="31">
        <f t="shared" si="84"/>
        <v>0</v>
      </c>
      <c r="AE455" s="31">
        <f t="shared" si="84"/>
        <v>0</v>
      </c>
      <c r="AF455" s="72" t="s">
        <v>776</v>
      </c>
      <c r="AG455" s="72" t="s">
        <v>776</v>
      </c>
      <c r="AH455" s="88" t="s">
        <v>776</v>
      </c>
      <c r="AT455" s="20" t="e">
        <f>VLOOKUP(C455,AW:AX,2,FALSE)</f>
        <v>#N/A</v>
      </c>
      <c r="BZ455" s="71">
        <v>3726576.42</v>
      </c>
      <c r="CD455" s="20" t="e">
        <f t="shared" si="70"/>
        <v>#N/A</v>
      </c>
    </row>
    <row r="456" spans="1:82" ht="61.5" x14ac:dyDescent="0.85">
      <c r="A456" s="20">
        <v>1</v>
      </c>
      <c r="B456" s="66">
        <f>SUBTOTAL(103,$A$22:A456)</f>
        <v>393</v>
      </c>
      <c r="C456" s="24" t="s">
        <v>1597</v>
      </c>
      <c r="D456" s="31">
        <f>E456+F456+G456+H456+I456+J456+L456+N456+P456+R456+T456+U456+V456+W456+X456+Y456+Z456+AA456+AB456+AC456+AD456+AE456</f>
        <v>3623254.4499999997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3">
        <v>0</v>
      </c>
      <c r="L456" s="31">
        <v>0</v>
      </c>
      <c r="M456" s="209">
        <v>837.3</v>
      </c>
      <c r="N456" s="209">
        <v>3606600.61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16653.84</v>
      </c>
      <c r="AD456" s="31">
        <v>0</v>
      </c>
      <c r="AE456" s="31">
        <v>0</v>
      </c>
      <c r="AF456" s="34" t="s">
        <v>274</v>
      </c>
      <c r="AG456" s="34">
        <v>2020</v>
      </c>
      <c r="AH456" s="35">
        <v>2020</v>
      </c>
      <c r="BZ456" s="71"/>
      <c r="CD456" s="20">
        <f t="shared" si="70"/>
        <v>837.3</v>
      </c>
    </row>
    <row r="457" spans="1:82" ht="61.5" x14ac:dyDescent="0.85">
      <c r="B457" s="24" t="s">
        <v>872</v>
      </c>
      <c r="C457" s="129"/>
      <c r="D457" s="31">
        <f>D458</f>
        <v>5198352.66</v>
      </c>
      <c r="E457" s="31">
        <f t="shared" ref="E457:AE457" si="85">E458</f>
        <v>0</v>
      </c>
      <c r="F457" s="31">
        <f t="shared" si="85"/>
        <v>0</v>
      </c>
      <c r="G457" s="31">
        <f t="shared" si="85"/>
        <v>0</v>
      </c>
      <c r="H457" s="31">
        <f t="shared" si="85"/>
        <v>0</v>
      </c>
      <c r="I457" s="31">
        <f t="shared" si="85"/>
        <v>0</v>
      </c>
      <c r="J457" s="31">
        <f t="shared" si="85"/>
        <v>0</v>
      </c>
      <c r="K457" s="33">
        <f t="shared" si="85"/>
        <v>0</v>
      </c>
      <c r="L457" s="31">
        <f t="shared" si="85"/>
        <v>0</v>
      </c>
      <c r="M457" s="31">
        <f t="shared" si="85"/>
        <v>806.42</v>
      </c>
      <c r="N457" s="31">
        <f t="shared" si="85"/>
        <v>5059349.3</v>
      </c>
      <c r="O457" s="31">
        <f t="shared" si="85"/>
        <v>0</v>
      </c>
      <c r="P457" s="31">
        <f t="shared" si="85"/>
        <v>0</v>
      </c>
      <c r="Q457" s="31">
        <f t="shared" si="85"/>
        <v>0</v>
      </c>
      <c r="R457" s="31">
        <f t="shared" si="85"/>
        <v>0</v>
      </c>
      <c r="S457" s="31">
        <f t="shared" si="85"/>
        <v>0</v>
      </c>
      <c r="T457" s="31">
        <f t="shared" si="85"/>
        <v>0</v>
      </c>
      <c r="U457" s="31">
        <f t="shared" si="85"/>
        <v>0</v>
      </c>
      <c r="V457" s="31">
        <f t="shared" si="85"/>
        <v>0</v>
      </c>
      <c r="W457" s="31">
        <f t="shared" si="85"/>
        <v>0</v>
      </c>
      <c r="X457" s="31">
        <f t="shared" si="85"/>
        <v>0</v>
      </c>
      <c r="Y457" s="31">
        <f t="shared" si="85"/>
        <v>0</v>
      </c>
      <c r="Z457" s="31">
        <f t="shared" si="85"/>
        <v>0</v>
      </c>
      <c r="AA457" s="31">
        <f t="shared" si="85"/>
        <v>0</v>
      </c>
      <c r="AB457" s="31">
        <f t="shared" si="85"/>
        <v>0</v>
      </c>
      <c r="AC457" s="31">
        <f t="shared" si="85"/>
        <v>75890.240000000005</v>
      </c>
      <c r="AD457" s="31">
        <f t="shared" si="85"/>
        <v>63113.120000000003</v>
      </c>
      <c r="AE457" s="31">
        <f t="shared" si="85"/>
        <v>0</v>
      </c>
      <c r="AF457" s="72" t="s">
        <v>776</v>
      </c>
      <c r="AG457" s="72" t="s">
        <v>776</v>
      </c>
      <c r="AH457" s="88" t="s">
        <v>776</v>
      </c>
      <c r="AT457" s="20" t="e">
        <f>VLOOKUP(C457,AW:AX,2,FALSE)</f>
        <v>#N/A</v>
      </c>
      <c r="BZ457" s="71">
        <v>5198352.66</v>
      </c>
      <c r="CD457" s="20" t="e">
        <f t="shared" si="70"/>
        <v>#N/A</v>
      </c>
    </row>
    <row r="458" spans="1:82" ht="61.5" x14ac:dyDescent="0.85">
      <c r="A458" s="20">
        <v>1</v>
      </c>
      <c r="B458" s="66">
        <f>SUBTOTAL(103,$A$22:A458)</f>
        <v>394</v>
      </c>
      <c r="C458" s="24" t="s">
        <v>232</v>
      </c>
      <c r="D458" s="31">
        <f>E458+F458+G458+H458+I458+J458+L458+N458+P458+R458+T458+U458+V458+W458+X458+Y458+Z458+AA458+AB458+AC458+AD458+AE458</f>
        <v>5198352.66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3">
        <v>0</v>
      </c>
      <c r="L458" s="31">
        <v>0</v>
      </c>
      <c r="M458" s="31">
        <v>806.42</v>
      </c>
      <c r="N458" s="31">
        <f>4225152.71+1025133.93-190937.34</f>
        <v>5059349.3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f>ROUND(N458*1.5%,2)</f>
        <v>75890.240000000005</v>
      </c>
      <c r="AD458" s="31">
        <v>63113.120000000003</v>
      </c>
      <c r="AE458" s="31">
        <v>0</v>
      </c>
      <c r="AF458" s="34">
        <v>2020</v>
      </c>
      <c r="AG458" s="34">
        <v>2020</v>
      </c>
      <c r="AH458" s="35">
        <v>2020</v>
      </c>
      <c r="AT458" s="20" t="e">
        <f>VLOOKUP(C458,AW:AX,2,FALSE)</f>
        <v>#N/A</v>
      </c>
      <c r="BZ458" s="71"/>
      <c r="CD458" s="20">
        <f t="shared" si="70"/>
        <v>806.38</v>
      </c>
    </row>
    <row r="459" spans="1:82" ht="61.5" x14ac:dyDescent="0.85">
      <c r="B459" s="24" t="s">
        <v>873</v>
      </c>
      <c r="C459" s="24"/>
      <c r="D459" s="31">
        <f t="shared" ref="D459:AE459" si="86">D460</f>
        <v>1821119.2799999998</v>
      </c>
      <c r="E459" s="31">
        <f t="shared" si="86"/>
        <v>0</v>
      </c>
      <c r="F459" s="31">
        <f t="shared" si="86"/>
        <v>0</v>
      </c>
      <c r="G459" s="31">
        <f t="shared" si="86"/>
        <v>0</v>
      </c>
      <c r="H459" s="31">
        <f t="shared" si="86"/>
        <v>0</v>
      </c>
      <c r="I459" s="31">
        <f t="shared" si="86"/>
        <v>0</v>
      </c>
      <c r="J459" s="31">
        <f t="shared" si="86"/>
        <v>0</v>
      </c>
      <c r="K459" s="33">
        <f t="shared" si="86"/>
        <v>0</v>
      </c>
      <c r="L459" s="31">
        <f t="shared" si="86"/>
        <v>0</v>
      </c>
      <c r="M459" s="31">
        <f t="shared" si="86"/>
        <v>302</v>
      </c>
      <c r="N459" s="31">
        <f t="shared" si="86"/>
        <v>1755495.67</v>
      </c>
      <c r="O459" s="31">
        <f t="shared" si="86"/>
        <v>0</v>
      </c>
      <c r="P459" s="31">
        <f t="shared" si="86"/>
        <v>0</v>
      </c>
      <c r="Q459" s="31">
        <f t="shared" si="86"/>
        <v>0</v>
      </c>
      <c r="R459" s="31">
        <f t="shared" si="86"/>
        <v>0</v>
      </c>
      <c r="S459" s="31">
        <f t="shared" si="86"/>
        <v>0</v>
      </c>
      <c r="T459" s="31">
        <f t="shared" si="86"/>
        <v>0</v>
      </c>
      <c r="U459" s="31">
        <f t="shared" si="86"/>
        <v>0</v>
      </c>
      <c r="V459" s="31">
        <f t="shared" si="86"/>
        <v>0</v>
      </c>
      <c r="W459" s="31">
        <f t="shared" si="86"/>
        <v>0</v>
      </c>
      <c r="X459" s="31">
        <f t="shared" si="86"/>
        <v>0</v>
      </c>
      <c r="Y459" s="31">
        <f t="shared" si="86"/>
        <v>0</v>
      </c>
      <c r="Z459" s="31">
        <f t="shared" si="86"/>
        <v>0</v>
      </c>
      <c r="AA459" s="31">
        <f t="shared" si="86"/>
        <v>0</v>
      </c>
      <c r="AB459" s="31">
        <f t="shared" si="86"/>
        <v>0</v>
      </c>
      <c r="AC459" s="31">
        <f t="shared" si="86"/>
        <v>26332.44</v>
      </c>
      <c r="AD459" s="31">
        <f t="shared" si="86"/>
        <v>39291.17</v>
      </c>
      <c r="AE459" s="31">
        <f t="shared" si="86"/>
        <v>0</v>
      </c>
      <c r="AF459" s="72" t="s">
        <v>776</v>
      </c>
      <c r="AG459" s="72" t="s">
        <v>776</v>
      </c>
      <c r="AH459" s="88" t="s">
        <v>776</v>
      </c>
      <c r="AT459" s="20" t="e">
        <f>VLOOKUP(C459,AW:AX,2,FALSE)</f>
        <v>#N/A</v>
      </c>
      <c r="BZ459" s="71">
        <v>1821119.2799999998</v>
      </c>
      <c r="CD459" s="20" t="e">
        <f t="shared" si="70"/>
        <v>#N/A</v>
      </c>
    </row>
    <row r="460" spans="1:82" ht="61.5" x14ac:dyDescent="0.85">
      <c r="A460" s="20">
        <v>1</v>
      </c>
      <c r="B460" s="66">
        <f>SUBTOTAL(103,$A$22:A460)</f>
        <v>395</v>
      </c>
      <c r="C460" s="24" t="s">
        <v>235</v>
      </c>
      <c r="D460" s="31">
        <f>E460+F460+G460+H460+I460+J460+L460+N460+P460+R460+T460+U460+V460+W460+X460+Y460+Z460+AA460+AB460+AC460+AD460+AE460</f>
        <v>1821119.2799999998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3">
        <v>0</v>
      </c>
      <c r="L460" s="31">
        <v>0</v>
      </c>
      <c r="M460" s="31">
        <v>302</v>
      </c>
      <c r="N460" s="31">
        <v>1755495.67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f>ROUND(N460*1.5%,2)</f>
        <v>26332.44</v>
      </c>
      <c r="AD460" s="31">
        <v>39291.17</v>
      </c>
      <c r="AE460" s="31">
        <v>0</v>
      </c>
      <c r="AF460" s="34">
        <v>2020</v>
      </c>
      <c r="AG460" s="34">
        <v>2020</v>
      </c>
      <c r="AH460" s="35">
        <v>2020</v>
      </c>
      <c r="AT460" s="20" t="e">
        <f>VLOOKUP(C460,AW:AX,2,FALSE)</f>
        <v>#N/A</v>
      </c>
      <c r="BZ460" s="71"/>
      <c r="CD460" s="20">
        <f t="shared" si="70"/>
        <v>308.60000000000002</v>
      </c>
    </row>
    <row r="461" spans="1:82" ht="61.5" x14ac:dyDescent="0.85">
      <c r="B461" s="24" t="s">
        <v>1318</v>
      </c>
      <c r="C461" s="24"/>
      <c r="D461" s="31">
        <f>D462</f>
        <v>4974970.34</v>
      </c>
      <c r="E461" s="31">
        <f t="shared" ref="E461:AE461" si="87">E462</f>
        <v>0</v>
      </c>
      <c r="F461" s="31">
        <f t="shared" si="87"/>
        <v>0</v>
      </c>
      <c r="G461" s="31">
        <f t="shared" si="87"/>
        <v>0</v>
      </c>
      <c r="H461" s="31">
        <f t="shared" si="87"/>
        <v>0</v>
      </c>
      <c r="I461" s="31">
        <f t="shared" si="87"/>
        <v>0</v>
      </c>
      <c r="J461" s="31">
        <f t="shared" si="87"/>
        <v>0</v>
      </c>
      <c r="K461" s="33">
        <f t="shared" si="87"/>
        <v>0</v>
      </c>
      <c r="L461" s="31">
        <f t="shared" si="87"/>
        <v>0</v>
      </c>
      <c r="M461" s="31">
        <f t="shared" si="87"/>
        <v>735</v>
      </c>
      <c r="N461" s="31">
        <f t="shared" si="87"/>
        <v>4753665.3599999994</v>
      </c>
      <c r="O461" s="31">
        <f t="shared" si="87"/>
        <v>0</v>
      </c>
      <c r="P461" s="31">
        <f t="shared" si="87"/>
        <v>0</v>
      </c>
      <c r="Q461" s="31">
        <f t="shared" si="87"/>
        <v>0</v>
      </c>
      <c r="R461" s="31">
        <f t="shared" si="87"/>
        <v>0</v>
      </c>
      <c r="S461" s="31">
        <f t="shared" si="87"/>
        <v>0</v>
      </c>
      <c r="T461" s="31">
        <f t="shared" si="87"/>
        <v>0</v>
      </c>
      <c r="U461" s="31">
        <f t="shared" si="87"/>
        <v>0</v>
      </c>
      <c r="V461" s="31">
        <f t="shared" si="87"/>
        <v>0</v>
      </c>
      <c r="W461" s="31">
        <f t="shared" si="87"/>
        <v>0</v>
      </c>
      <c r="X461" s="31">
        <f t="shared" si="87"/>
        <v>0</v>
      </c>
      <c r="Y461" s="31">
        <f t="shared" si="87"/>
        <v>0</v>
      </c>
      <c r="Z461" s="31">
        <f t="shared" si="87"/>
        <v>0</v>
      </c>
      <c r="AA461" s="31">
        <f t="shared" si="87"/>
        <v>0</v>
      </c>
      <c r="AB461" s="31">
        <f t="shared" si="87"/>
        <v>0</v>
      </c>
      <c r="AC461" s="31">
        <f t="shared" si="87"/>
        <v>71304.98</v>
      </c>
      <c r="AD461" s="31">
        <f t="shared" si="87"/>
        <v>150000</v>
      </c>
      <c r="AE461" s="31">
        <f t="shared" si="87"/>
        <v>0</v>
      </c>
      <c r="AF461" s="72" t="s">
        <v>776</v>
      </c>
      <c r="AG461" s="72" t="s">
        <v>776</v>
      </c>
      <c r="AH461" s="88" t="s">
        <v>776</v>
      </c>
      <c r="BZ461" s="71">
        <v>4609049.76</v>
      </c>
      <c r="CD461" s="20" t="e">
        <f t="shared" si="70"/>
        <v>#N/A</v>
      </c>
    </row>
    <row r="462" spans="1:82" ht="61.5" x14ac:dyDescent="0.85">
      <c r="A462" s="20">
        <v>1</v>
      </c>
      <c r="B462" s="66">
        <f>SUBTOTAL(103,$A$22:A462)</f>
        <v>396</v>
      </c>
      <c r="C462" s="24" t="s">
        <v>1319</v>
      </c>
      <c r="D462" s="31">
        <f>E462+F462+G462+H462+I462+J462+L462+N462+P462+R462+T462+U462+V462+W462+X462+Y462+Z462+AA462+AB462+AC462+AD462+AE462</f>
        <v>4974970.34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3">
        <v>0</v>
      </c>
      <c r="L462" s="31">
        <v>0</v>
      </c>
      <c r="M462" s="31">
        <v>735</v>
      </c>
      <c r="N462" s="31">
        <f>4393152.47+ROUND(365920.58*100/101.5,2)</f>
        <v>4753665.3599999994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f>ROUND(N462*1.5%,2)</f>
        <v>71304.98</v>
      </c>
      <c r="AD462" s="31">
        <v>150000</v>
      </c>
      <c r="AE462" s="31">
        <v>0</v>
      </c>
      <c r="AF462" s="34">
        <v>2020</v>
      </c>
      <c r="AG462" s="34">
        <v>2020</v>
      </c>
      <c r="AH462" s="35">
        <v>2020</v>
      </c>
      <c r="BZ462" s="71"/>
      <c r="CD462" s="20">
        <f t="shared" si="70"/>
        <v>735</v>
      </c>
    </row>
    <row r="463" spans="1:82" ht="61.5" x14ac:dyDescent="0.85">
      <c r="B463" s="24" t="s">
        <v>874</v>
      </c>
      <c r="C463" s="129"/>
      <c r="D463" s="31">
        <f t="shared" ref="D463:AE463" si="88">D464</f>
        <v>5368567.4000000004</v>
      </c>
      <c r="E463" s="31">
        <f t="shared" si="88"/>
        <v>0</v>
      </c>
      <c r="F463" s="31">
        <f t="shared" si="88"/>
        <v>0</v>
      </c>
      <c r="G463" s="31">
        <f t="shared" si="88"/>
        <v>0</v>
      </c>
      <c r="H463" s="31">
        <f t="shared" si="88"/>
        <v>0</v>
      </c>
      <c r="I463" s="31">
        <f t="shared" si="88"/>
        <v>0</v>
      </c>
      <c r="J463" s="31">
        <f t="shared" si="88"/>
        <v>0</v>
      </c>
      <c r="K463" s="33">
        <f t="shared" si="88"/>
        <v>0</v>
      </c>
      <c r="L463" s="31">
        <f t="shared" si="88"/>
        <v>0</v>
      </c>
      <c r="M463" s="31">
        <f t="shared" si="88"/>
        <v>980</v>
      </c>
      <c r="N463" s="31">
        <f t="shared" si="88"/>
        <v>5141445.71</v>
      </c>
      <c r="O463" s="31">
        <f t="shared" si="88"/>
        <v>0</v>
      </c>
      <c r="P463" s="31">
        <f t="shared" si="88"/>
        <v>0</v>
      </c>
      <c r="Q463" s="31">
        <f t="shared" si="88"/>
        <v>0</v>
      </c>
      <c r="R463" s="31">
        <f t="shared" si="88"/>
        <v>0</v>
      </c>
      <c r="S463" s="31">
        <f t="shared" si="88"/>
        <v>0</v>
      </c>
      <c r="T463" s="31">
        <f t="shared" si="88"/>
        <v>0</v>
      </c>
      <c r="U463" s="31">
        <f t="shared" si="88"/>
        <v>0</v>
      </c>
      <c r="V463" s="31">
        <f t="shared" si="88"/>
        <v>0</v>
      </c>
      <c r="W463" s="31">
        <f t="shared" si="88"/>
        <v>0</v>
      </c>
      <c r="X463" s="31">
        <f t="shared" si="88"/>
        <v>0</v>
      </c>
      <c r="Y463" s="31">
        <f t="shared" si="88"/>
        <v>0</v>
      </c>
      <c r="Z463" s="31">
        <f t="shared" si="88"/>
        <v>0</v>
      </c>
      <c r="AA463" s="31">
        <f t="shared" si="88"/>
        <v>0</v>
      </c>
      <c r="AB463" s="31">
        <f t="shared" si="88"/>
        <v>0</v>
      </c>
      <c r="AC463" s="31">
        <f t="shared" si="88"/>
        <v>77121.69</v>
      </c>
      <c r="AD463" s="31">
        <f t="shared" si="88"/>
        <v>150000</v>
      </c>
      <c r="AE463" s="31">
        <f t="shared" si="88"/>
        <v>0</v>
      </c>
      <c r="AF463" s="72" t="s">
        <v>776</v>
      </c>
      <c r="AG463" s="72" t="s">
        <v>776</v>
      </c>
      <c r="AH463" s="88" t="s">
        <v>776</v>
      </c>
      <c r="AT463" s="20" t="e">
        <f t="shared" ref="AT463:AT469" si="89">VLOOKUP(C463,AW:AX,2,FALSE)</f>
        <v>#N/A</v>
      </c>
      <c r="BZ463" s="71">
        <v>5368567.4000000004</v>
      </c>
      <c r="CD463" s="20" t="e">
        <f t="shared" si="70"/>
        <v>#N/A</v>
      </c>
    </row>
    <row r="464" spans="1:82" ht="61.5" x14ac:dyDescent="0.85">
      <c r="A464" s="20">
        <v>1</v>
      </c>
      <c r="B464" s="66">
        <f>SUBTOTAL(103,$A$22:A464)</f>
        <v>397</v>
      </c>
      <c r="C464" s="24" t="s">
        <v>141</v>
      </c>
      <c r="D464" s="31">
        <f>E464+F464+G464+H464+I464+J464+L464+N464+P464+R464+T464+U464+V464+W464+X464+Y464+Z464+AA464+AB464+AC464+AD464+AE464</f>
        <v>5368567.4000000004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3">
        <v>0</v>
      </c>
      <c r="L464" s="31">
        <v>0</v>
      </c>
      <c r="M464" s="31">
        <v>980</v>
      </c>
      <c r="N464" s="31">
        <v>5141445.71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f>ROUND(N464*1.5%,2)</f>
        <v>77121.69</v>
      </c>
      <c r="AD464" s="31">
        <f>155511.19-5511.19</f>
        <v>150000</v>
      </c>
      <c r="AE464" s="31">
        <v>0</v>
      </c>
      <c r="AF464" s="34">
        <v>2020</v>
      </c>
      <c r="AG464" s="34">
        <v>2020</v>
      </c>
      <c r="AH464" s="35">
        <v>2020</v>
      </c>
      <c r="AT464" s="20" t="e">
        <f t="shared" si="89"/>
        <v>#N/A</v>
      </c>
      <c r="BZ464" s="71"/>
      <c r="CD464" s="20" t="e">
        <f t="shared" si="70"/>
        <v>#N/A</v>
      </c>
    </row>
    <row r="465" spans="1:82" ht="61.5" x14ac:dyDescent="0.85">
      <c r="B465" s="24" t="s">
        <v>875</v>
      </c>
      <c r="C465" s="24"/>
      <c r="D465" s="31">
        <f t="shared" ref="D465:AE465" si="90">D466</f>
        <v>2682382.0500000003</v>
      </c>
      <c r="E465" s="31">
        <f t="shared" si="90"/>
        <v>0</v>
      </c>
      <c r="F465" s="31">
        <f t="shared" si="90"/>
        <v>0</v>
      </c>
      <c r="G465" s="31">
        <f t="shared" si="90"/>
        <v>0</v>
      </c>
      <c r="H465" s="31">
        <f t="shared" si="90"/>
        <v>0</v>
      </c>
      <c r="I465" s="31">
        <f t="shared" si="90"/>
        <v>0</v>
      </c>
      <c r="J465" s="31">
        <f t="shared" si="90"/>
        <v>0</v>
      </c>
      <c r="K465" s="33">
        <f t="shared" si="90"/>
        <v>0</v>
      </c>
      <c r="L465" s="31">
        <f t="shared" si="90"/>
        <v>0</v>
      </c>
      <c r="M465" s="31">
        <f t="shared" si="90"/>
        <v>629.09712090000005</v>
      </c>
      <c r="N465" s="31">
        <f t="shared" si="90"/>
        <v>2494957.6800000002</v>
      </c>
      <c r="O465" s="31">
        <f t="shared" si="90"/>
        <v>0</v>
      </c>
      <c r="P465" s="31">
        <f t="shared" si="90"/>
        <v>0</v>
      </c>
      <c r="Q465" s="31">
        <f t="shared" si="90"/>
        <v>0</v>
      </c>
      <c r="R465" s="31">
        <f t="shared" si="90"/>
        <v>0</v>
      </c>
      <c r="S465" s="31">
        <f t="shared" si="90"/>
        <v>0</v>
      </c>
      <c r="T465" s="31">
        <f t="shared" si="90"/>
        <v>0</v>
      </c>
      <c r="U465" s="31">
        <f t="shared" si="90"/>
        <v>0</v>
      </c>
      <c r="V465" s="31">
        <f t="shared" si="90"/>
        <v>0</v>
      </c>
      <c r="W465" s="31">
        <f t="shared" si="90"/>
        <v>0</v>
      </c>
      <c r="X465" s="31">
        <f t="shared" si="90"/>
        <v>0</v>
      </c>
      <c r="Y465" s="31">
        <f t="shared" si="90"/>
        <v>0</v>
      </c>
      <c r="Z465" s="31">
        <f t="shared" si="90"/>
        <v>0</v>
      </c>
      <c r="AA465" s="31">
        <f t="shared" si="90"/>
        <v>0</v>
      </c>
      <c r="AB465" s="31">
        <f t="shared" si="90"/>
        <v>0</v>
      </c>
      <c r="AC465" s="31">
        <f t="shared" si="90"/>
        <v>37424.370000000003</v>
      </c>
      <c r="AD465" s="31">
        <f t="shared" si="90"/>
        <v>150000</v>
      </c>
      <c r="AE465" s="31">
        <f t="shared" si="90"/>
        <v>0</v>
      </c>
      <c r="AF465" s="72" t="s">
        <v>776</v>
      </c>
      <c r="AG465" s="72" t="s">
        <v>776</v>
      </c>
      <c r="AH465" s="88" t="s">
        <v>776</v>
      </c>
      <c r="AT465" s="20" t="e">
        <f t="shared" si="89"/>
        <v>#N/A</v>
      </c>
      <c r="BZ465" s="71">
        <v>2682382.0500000003</v>
      </c>
      <c r="CD465" s="20" t="e">
        <f t="shared" si="70"/>
        <v>#N/A</v>
      </c>
    </row>
    <row r="466" spans="1:82" ht="61.5" x14ac:dyDescent="0.85">
      <c r="A466" s="20">
        <v>1</v>
      </c>
      <c r="B466" s="66">
        <f>SUBTOTAL(103,$A$22:A466)</f>
        <v>398</v>
      </c>
      <c r="C466" s="24" t="s">
        <v>146</v>
      </c>
      <c r="D466" s="31">
        <f>E466+F466+G466+H466+I466+J466+L466+N466+P466+R466+T466+U466+V466+W466+X466+Y466+Z466+AA466+AB466+AC466+AD466+AE466</f>
        <v>2682382.0500000003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3">
        <v>0</v>
      </c>
      <c r="L466" s="31">
        <v>0</v>
      </c>
      <c r="M466" s="31">
        <v>629.09712090000005</v>
      </c>
      <c r="N466" s="31">
        <v>2494957.6800000002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f>ROUND(N466*1.5%,2)</f>
        <v>37424.370000000003</v>
      </c>
      <c r="AD466" s="31">
        <v>150000</v>
      </c>
      <c r="AE466" s="31">
        <v>0</v>
      </c>
      <c r="AF466" s="34">
        <v>2020</v>
      </c>
      <c r="AG466" s="34">
        <v>2020</v>
      </c>
      <c r="AH466" s="35">
        <v>2020</v>
      </c>
      <c r="AT466" s="20" t="e">
        <f t="shared" si="89"/>
        <v>#N/A</v>
      </c>
      <c r="BZ466" s="71"/>
      <c r="CD466" s="20" t="e">
        <f t="shared" si="70"/>
        <v>#N/A</v>
      </c>
    </row>
    <row r="467" spans="1:82" ht="61.5" x14ac:dyDescent="0.85">
      <c r="B467" s="24" t="s">
        <v>876</v>
      </c>
      <c r="C467" s="24"/>
      <c r="D467" s="31">
        <f t="shared" ref="D467:AE467" si="91">SUM(D468:D472)</f>
        <v>11742480.740000002</v>
      </c>
      <c r="E467" s="31">
        <f t="shared" si="91"/>
        <v>0</v>
      </c>
      <c r="F467" s="31">
        <f t="shared" si="91"/>
        <v>0</v>
      </c>
      <c r="G467" s="31">
        <f t="shared" si="91"/>
        <v>0</v>
      </c>
      <c r="H467" s="31">
        <f t="shared" si="91"/>
        <v>0</v>
      </c>
      <c r="I467" s="31">
        <f t="shared" si="91"/>
        <v>0</v>
      </c>
      <c r="J467" s="31">
        <f t="shared" si="91"/>
        <v>0</v>
      </c>
      <c r="K467" s="33">
        <f t="shared" si="91"/>
        <v>0</v>
      </c>
      <c r="L467" s="31">
        <f t="shared" si="91"/>
        <v>0</v>
      </c>
      <c r="M467" s="31">
        <f t="shared" si="91"/>
        <v>1104.4000000000001</v>
      </c>
      <c r="N467" s="31">
        <f t="shared" si="91"/>
        <v>5681607.3000000007</v>
      </c>
      <c r="O467" s="31">
        <f t="shared" si="91"/>
        <v>0</v>
      </c>
      <c r="P467" s="31">
        <f t="shared" si="91"/>
        <v>0</v>
      </c>
      <c r="Q467" s="31">
        <f t="shared" si="91"/>
        <v>316.60000000000002</v>
      </c>
      <c r="R467" s="31">
        <f t="shared" si="91"/>
        <v>1784451.34</v>
      </c>
      <c r="S467" s="31">
        <f t="shared" si="91"/>
        <v>0</v>
      </c>
      <c r="T467" s="31">
        <f t="shared" si="91"/>
        <v>0</v>
      </c>
      <c r="U467" s="31">
        <f t="shared" si="91"/>
        <v>3628734.33</v>
      </c>
      <c r="V467" s="31">
        <f t="shared" si="91"/>
        <v>0</v>
      </c>
      <c r="W467" s="31">
        <f t="shared" si="91"/>
        <v>0</v>
      </c>
      <c r="X467" s="31">
        <f t="shared" si="91"/>
        <v>0</v>
      </c>
      <c r="Y467" s="31">
        <f t="shared" si="91"/>
        <v>0</v>
      </c>
      <c r="Z467" s="31">
        <f t="shared" si="91"/>
        <v>0</v>
      </c>
      <c r="AA467" s="31">
        <f t="shared" si="91"/>
        <v>0</v>
      </c>
      <c r="AB467" s="31">
        <f t="shared" si="91"/>
        <v>0</v>
      </c>
      <c r="AC467" s="31">
        <f t="shared" si="91"/>
        <v>166421.88</v>
      </c>
      <c r="AD467" s="31">
        <f t="shared" si="91"/>
        <v>361265.89</v>
      </c>
      <c r="AE467" s="31">
        <f t="shared" si="91"/>
        <v>120000</v>
      </c>
      <c r="AF467" s="72" t="s">
        <v>776</v>
      </c>
      <c r="AG467" s="72" t="s">
        <v>776</v>
      </c>
      <c r="AH467" s="88" t="s">
        <v>776</v>
      </c>
      <c r="AT467" s="20" t="e">
        <f t="shared" si="89"/>
        <v>#N/A</v>
      </c>
      <c r="BZ467" s="31">
        <v>11742480.740000002</v>
      </c>
      <c r="CA467" s="31"/>
      <c r="CB467" s="31">
        <f>BZ467-D467</f>
        <v>0</v>
      </c>
      <c r="CD467" s="20" t="e">
        <f t="shared" si="70"/>
        <v>#N/A</v>
      </c>
    </row>
    <row r="468" spans="1:82" ht="61.5" x14ac:dyDescent="0.85">
      <c r="A468" s="20">
        <v>1</v>
      </c>
      <c r="B468" s="66">
        <f>SUBTOTAL(103,$A$22:A468)</f>
        <v>399</v>
      </c>
      <c r="C468" s="24" t="s">
        <v>144</v>
      </c>
      <c r="D468" s="31">
        <f>E468+F468+G468+H468+I468+J468+L468+N468+P468+R468+T468+U468+V468+W468+X468+Y468+Z468+AA468+AB468+AC468+AD468+AE468</f>
        <v>3824431.2399999998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3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3628734.33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f>ROUND(U468*1.5%,2)</f>
        <v>54431.01</v>
      </c>
      <c r="AD468" s="31">
        <v>141265.9</v>
      </c>
      <c r="AE468" s="31">
        <v>0</v>
      </c>
      <c r="AF468" s="34">
        <v>2020</v>
      </c>
      <c r="AG468" s="34">
        <v>2020</v>
      </c>
      <c r="AH468" s="35">
        <v>2020</v>
      </c>
      <c r="AT468" s="20" t="e">
        <f t="shared" si="89"/>
        <v>#N/A</v>
      </c>
      <c r="BZ468" s="71"/>
      <c r="CD468" s="20" t="e">
        <f t="shared" si="70"/>
        <v>#N/A</v>
      </c>
    </row>
    <row r="469" spans="1:82" ht="61.5" x14ac:dyDescent="0.85">
      <c r="A469" s="20">
        <v>1</v>
      </c>
      <c r="B469" s="66">
        <f>SUBTOTAL(103,$A$22:A469)</f>
        <v>400</v>
      </c>
      <c r="C469" s="24" t="s">
        <v>145</v>
      </c>
      <c r="D469" s="31">
        <f>E469+F469+G469+H469+I469+J469+L469+N469+P469+R469+T469+U469+V469+W469+X469+Y469+Z469+AA469+AB469+AC469+AD469+AE469</f>
        <v>1510400.1400000001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3">
        <v>0</v>
      </c>
      <c r="L469" s="31">
        <v>0</v>
      </c>
      <c r="M469" s="31">
        <v>317.8</v>
      </c>
      <c r="N469" s="31">
        <f>1444390.37+43688.59</f>
        <v>1488078.9600000002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f>ROUND(N469*1.5%,2)</f>
        <v>22321.18</v>
      </c>
      <c r="AD469" s="31">
        <v>0</v>
      </c>
      <c r="AE469" s="31">
        <v>0</v>
      </c>
      <c r="AF469" s="34" t="s">
        <v>274</v>
      </c>
      <c r="AG469" s="34">
        <v>2020</v>
      </c>
      <c r="AH469" s="35">
        <v>2020</v>
      </c>
      <c r="AT469" s="20" t="e">
        <f t="shared" si="89"/>
        <v>#N/A</v>
      </c>
      <c r="BZ469" s="71"/>
      <c r="CD469" s="20">
        <f t="shared" si="70"/>
        <v>317.8</v>
      </c>
    </row>
    <row r="470" spans="1:82" ht="61.5" x14ac:dyDescent="0.85">
      <c r="A470" s="20">
        <v>1</v>
      </c>
      <c r="B470" s="66">
        <f>SUBTOTAL(103,$A$22:A470)</f>
        <v>401</v>
      </c>
      <c r="C470" s="24" t="s">
        <v>1289</v>
      </c>
      <c r="D470" s="31">
        <f>E470+F470+G470+H470+I470+J470+L470+N470+P470+R470+T470+U470+V470+W470+X470+Y470+Z470+AA470+AB470+AC470+AD470+AE470</f>
        <v>1911218.1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3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316.60000000000002</v>
      </c>
      <c r="R470" s="31">
        <f>1266400-377064.1+107127.19+787988.25</f>
        <v>1784451.34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f>ROUND(R470*1.5%,2)</f>
        <v>26766.77</v>
      </c>
      <c r="AD470" s="31">
        <f>100000-0.01</f>
        <v>99999.99</v>
      </c>
      <c r="AE470" s="31">
        <v>0</v>
      </c>
      <c r="AF470" s="34">
        <v>2020</v>
      </c>
      <c r="AG470" s="34">
        <v>2020</v>
      </c>
      <c r="AH470" s="35">
        <v>2020</v>
      </c>
      <c r="BZ470" s="71"/>
      <c r="CD470" s="20" t="e">
        <f t="shared" ref="CD470:CD533" si="92">VLOOKUP(C470,CE:CF,2,FALSE)</f>
        <v>#N/A</v>
      </c>
    </row>
    <row r="471" spans="1:82" ht="61.5" x14ac:dyDescent="0.85">
      <c r="A471" s="20">
        <v>1</v>
      </c>
      <c r="B471" s="66">
        <f>SUBTOTAL(103,$A$22:A471)</f>
        <v>402</v>
      </c>
      <c r="C471" s="24" t="s">
        <v>1290</v>
      </c>
      <c r="D471" s="31">
        <f>E471+F471+G471+H471+I471+J471+L471+N471+P471+R471+T471+U471+V471+W471+X471+Y471+Z471+AA471+AB471+AC471+AD471+AE471</f>
        <v>1517864.1500000001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3">
        <v>0</v>
      </c>
      <c r="L471" s="31">
        <v>0</v>
      </c>
      <c r="M471" s="31">
        <v>189.8</v>
      </c>
      <c r="N471" s="31">
        <v>1377206.06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f>ROUND(N471*1.5%,2)</f>
        <v>20658.09</v>
      </c>
      <c r="AD471" s="31">
        <v>0</v>
      </c>
      <c r="AE471" s="31">
        <v>120000</v>
      </c>
      <c r="AF471" s="34" t="s">
        <v>274</v>
      </c>
      <c r="AG471" s="34">
        <v>2020</v>
      </c>
      <c r="AH471" s="35">
        <v>2020</v>
      </c>
      <c r="BZ471" s="71"/>
      <c r="CD471" s="20">
        <f t="shared" si="92"/>
        <v>189.8</v>
      </c>
    </row>
    <row r="472" spans="1:82" ht="61.5" x14ac:dyDescent="0.85">
      <c r="A472" s="20">
        <v>1</v>
      </c>
      <c r="B472" s="66">
        <f>SUBTOTAL(103,$A$22:A472)</f>
        <v>403</v>
      </c>
      <c r="C472" s="24" t="s">
        <v>1325</v>
      </c>
      <c r="D472" s="31">
        <f>E472+F472+G472+H472+I472+J472+L472+N472+P472+R472+T472+U472+V472+W472+X472+Y472+Z472+AA472+AB472+AC472+AD472+AE472</f>
        <v>2978567.1100000003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3">
        <v>0</v>
      </c>
      <c r="L472" s="31">
        <v>0</v>
      </c>
      <c r="M472" s="31">
        <v>596.79999999999995</v>
      </c>
      <c r="N472" s="31">
        <f>2367388.18+448934.1</f>
        <v>2816322.2800000003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f>ROUND(N472*1.5%,2)</f>
        <v>42244.83</v>
      </c>
      <c r="AD472" s="31">
        <v>120000</v>
      </c>
      <c r="AE472" s="31">
        <v>0</v>
      </c>
      <c r="AF472" s="34">
        <v>2020</v>
      </c>
      <c r="AG472" s="34">
        <v>2020</v>
      </c>
      <c r="AH472" s="35">
        <v>2020</v>
      </c>
      <c r="BZ472" s="71"/>
      <c r="CD472" s="20" t="e">
        <f t="shared" si="92"/>
        <v>#N/A</v>
      </c>
    </row>
    <row r="473" spans="1:82" ht="61.5" x14ac:dyDescent="0.85">
      <c r="B473" s="24" t="s">
        <v>877</v>
      </c>
      <c r="C473" s="24"/>
      <c r="D473" s="31">
        <f>D474+D475+D476+D477+D478+D479+D480+D481+D482+D483+D484</f>
        <v>40245217.780000009</v>
      </c>
      <c r="E473" s="31">
        <f t="shared" ref="E473:AE473" si="93">E474+E475+E476+E477+E478+E479+E480+E481+E482+E483+E484</f>
        <v>247105.2</v>
      </c>
      <c r="F473" s="31">
        <f t="shared" si="93"/>
        <v>0</v>
      </c>
      <c r="G473" s="31">
        <f t="shared" si="93"/>
        <v>2847360.26</v>
      </c>
      <c r="H473" s="31">
        <f t="shared" si="93"/>
        <v>314927.94</v>
      </c>
      <c r="I473" s="31">
        <f t="shared" si="93"/>
        <v>730380.2</v>
      </c>
      <c r="J473" s="31">
        <f t="shared" si="93"/>
        <v>0</v>
      </c>
      <c r="K473" s="33">
        <f t="shared" si="93"/>
        <v>0</v>
      </c>
      <c r="L473" s="31">
        <f t="shared" si="93"/>
        <v>0</v>
      </c>
      <c r="M473" s="31">
        <f t="shared" si="93"/>
        <v>7997.16</v>
      </c>
      <c r="N473" s="31">
        <f t="shared" si="93"/>
        <v>35169791.789999999</v>
      </c>
      <c r="O473" s="31">
        <f t="shared" si="93"/>
        <v>0</v>
      </c>
      <c r="P473" s="31">
        <f t="shared" si="93"/>
        <v>0</v>
      </c>
      <c r="Q473" s="31">
        <f t="shared" si="93"/>
        <v>0</v>
      </c>
      <c r="R473" s="31">
        <f t="shared" si="93"/>
        <v>0</v>
      </c>
      <c r="S473" s="31">
        <f t="shared" si="93"/>
        <v>0</v>
      </c>
      <c r="T473" s="31">
        <f t="shared" si="93"/>
        <v>0</v>
      </c>
      <c r="U473" s="31">
        <f t="shared" si="93"/>
        <v>0</v>
      </c>
      <c r="V473" s="31">
        <f t="shared" si="93"/>
        <v>0</v>
      </c>
      <c r="W473" s="31">
        <f t="shared" si="93"/>
        <v>0</v>
      </c>
      <c r="X473" s="31">
        <f t="shared" si="93"/>
        <v>0</v>
      </c>
      <c r="Y473" s="31">
        <f t="shared" si="93"/>
        <v>0</v>
      </c>
      <c r="Z473" s="31">
        <f t="shared" si="93"/>
        <v>0</v>
      </c>
      <c r="AA473" s="31">
        <f t="shared" si="93"/>
        <v>0</v>
      </c>
      <c r="AB473" s="31">
        <f t="shared" si="93"/>
        <v>0</v>
      </c>
      <c r="AC473" s="31">
        <f t="shared" si="93"/>
        <v>589643.49</v>
      </c>
      <c r="AD473" s="31">
        <f t="shared" si="93"/>
        <v>346008.9</v>
      </c>
      <c r="AE473" s="31">
        <f t="shared" si="93"/>
        <v>0</v>
      </c>
      <c r="AF473" s="72" t="s">
        <v>776</v>
      </c>
      <c r="AG473" s="72" t="s">
        <v>776</v>
      </c>
      <c r="AH473" s="88" t="s">
        <v>776</v>
      </c>
      <c r="AT473" s="20" t="e">
        <f>VLOOKUP(C473,AW:AX,2,FALSE)</f>
        <v>#N/A</v>
      </c>
      <c r="BZ473" s="31">
        <v>43274846.739999995</v>
      </c>
      <c r="CA473" s="31"/>
      <c r="CB473" s="31">
        <f>BZ473-D473</f>
        <v>3029628.959999986</v>
      </c>
      <c r="CD473" s="20" t="e">
        <f t="shared" si="92"/>
        <v>#N/A</v>
      </c>
    </row>
    <row r="474" spans="1:82" ht="61.5" x14ac:dyDescent="0.85">
      <c r="A474" s="20">
        <v>1</v>
      </c>
      <c r="B474" s="66">
        <f>SUBTOTAL(103,$A$22:A474)</f>
        <v>404</v>
      </c>
      <c r="C474" s="24" t="s">
        <v>147</v>
      </c>
      <c r="D474" s="31">
        <f t="shared" ref="D474:D480" si="94">E474+F474+G474+H474+I474+J474+L474+N474+P474+R474+T474+U474+V474+W474+X474+Y474+Z474+AA474+AB474+AC474+AD474+AE474</f>
        <v>5610321.0300000003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3">
        <v>0</v>
      </c>
      <c r="L474" s="31">
        <v>0</v>
      </c>
      <c r="M474" s="31">
        <v>1525.2</v>
      </c>
      <c r="N474" s="31">
        <v>5527409.8799999999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f>ROUND(N474*1.5%,2)</f>
        <v>82911.149999999994</v>
      </c>
      <c r="AD474" s="31">
        <v>0</v>
      </c>
      <c r="AE474" s="31">
        <v>0</v>
      </c>
      <c r="AF474" s="34" t="s">
        <v>274</v>
      </c>
      <c r="AG474" s="34">
        <v>2020</v>
      </c>
      <c r="AH474" s="35">
        <v>2020</v>
      </c>
      <c r="AT474" s="20" t="e">
        <f>VLOOKUP(C474,AW:AX,2,FALSE)</f>
        <v>#N/A</v>
      </c>
      <c r="BZ474" s="71"/>
      <c r="CD474" s="20">
        <f t="shared" si="92"/>
        <v>1525.2</v>
      </c>
    </row>
    <row r="475" spans="1:82" ht="61.5" x14ac:dyDescent="0.85">
      <c r="A475" s="20">
        <v>1</v>
      </c>
      <c r="B475" s="66">
        <f>SUBTOTAL(103,$A$22:A475)</f>
        <v>405</v>
      </c>
      <c r="C475" s="24" t="s">
        <v>142</v>
      </c>
      <c r="D475" s="31">
        <f t="shared" si="94"/>
        <v>5343157.95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3">
        <v>0</v>
      </c>
      <c r="L475" s="31">
        <v>0</v>
      </c>
      <c r="M475" s="31">
        <v>1246.2</v>
      </c>
      <c r="N475" s="31">
        <f>3946898.72+654836.09+458661.47-6778.25+92350.39</f>
        <v>5145968.42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f>ROUND(N475*1.5%,2)</f>
        <v>77189.53</v>
      </c>
      <c r="AD475" s="31">
        <v>120000</v>
      </c>
      <c r="AE475" s="31">
        <v>0</v>
      </c>
      <c r="AF475" s="34">
        <v>2020</v>
      </c>
      <c r="AG475" s="34">
        <v>2020</v>
      </c>
      <c r="AH475" s="35">
        <v>2020</v>
      </c>
      <c r="AT475" s="20" t="e">
        <f>VLOOKUP(C475,AW:AX,2,FALSE)</f>
        <v>#N/A</v>
      </c>
      <c r="BZ475" s="71"/>
      <c r="CD475" s="20" t="e">
        <f t="shared" si="92"/>
        <v>#N/A</v>
      </c>
    </row>
    <row r="476" spans="1:82" ht="61.5" x14ac:dyDescent="0.85">
      <c r="A476" s="20">
        <v>1</v>
      </c>
      <c r="B476" s="66">
        <f>SUBTOTAL(103,$A$22:A476)</f>
        <v>406</v>
      </c>
      <c r="C476" s="24" t="s">
        <v>143</v>
      </c>
      <c r="D476" s="31">
        <f t="shared" si="94"/>
        <v>5046150.49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3">
        <v>0</v>
      </c>
      <c r="L476" s="31">
        <v>0</v>
      </c>
      <c r="M476" s="31">
        <v>1373.6</v>
      </c>
      <c r="N476" s="31">
        <v>4971576.84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f>ROUND(N476*1.5%,2)</f>
        <v>74573.649999999994</v>
      </c>
      <c r="AD476" s="31">
        <v>0</v>
      </c>
      <c r="AE476" s="31">
        <v>0</v>
      </c>
      <c r="AF476" s="34" t="s">
        <v>274</v>
      </c>
      <c r="AG476" s="34">
        <v>2020</v>
      </c>
      <c r="AH476" s="35">
        <v>2020</v>
      </c>
      <c r="AT476" s="20" t="e">
        <f>VLOOKUP(C476,AW:AX,2,FALSE)</f>
        <v>#N/A</v>
      </c>
      <c r="BZ476" s="71"/>
      <c r="CD476" s="20">
        <f t="shared" si="92"/>
        <v>1373.6</v>
      </c>
    </row>
    <row r="477" spans="1:82" ht="61.5" x14ac:dyDescent="0.85">
      <c r="A477" s="20">
        <v>1</v>
      </c>
      <c r="B477" s="66">
        <f>SUBTOTAL(103,$A$22:A477)</f>
        <v>407</v>
      </c>
      <c r="C477" s="24" t="s">
        <v>1281</v>
      </c>
      <c r="D477" s="31">
        <f t="shared" si="94"/>
        <v>1438516.04</v>
      </c>
      <c r="E477" s="31">
        <v>123997.1</v>
      </c>
      <c r="F477" s="31">
        <v>0</v>
      </c>
      <c r="G477" s="31">
        <v>827956.03</v>
      </c>
      <c r="H477" s="31">
        <v>130137.83</v>
      </c>
      <c r="I477" s="31">
        <v>335166.21999999997</v>
      </c>
      <c r="J477" s="31">
        <v>0</v>
      </c>
      <c r="K477" s="33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f>ROUND((E477+F477+G477+H477+I477+J477)*1.5%,2)</f>
        <v>21258.86</v>
      </c>
      <c r="AD477" s="31">
        <v>0</v>
      </c>
      <c r="AE477" s="31">
        <v>0</v>
      </c>
      <c r="AF477" s="34" t="s">
        <v>274</v>
      </c>
      <c r="AG477" s="34">
        <v>2020</v>
      </c>
      <c r="AH477" s="35">
        <v>2020</v>
      </c>
      <c r="BZ477" s="71"/>
      <c r="CD477" s="20" t="e">
        <f t="shared" si="92"/>
        <v>#N/A</v>
      </c>
    </row>
    <row r="478" spans="1:82" ht="61.5" x14ac:dyDescent="0.85">
      <c r="A478" s="20">
        <v>1</v>
      </c>
      <c r="B478" s="66">
        <f>SUBTOTAL(103,$A$22:A478)</f>
        <v>408</v>
      </c>
      <c r="C478" s="24" t="s">
        <v>1282</v>
      </c>
      <c r="D478" s="31">
        <f t="shared" si="94"/>
        <v>1354269.58</v>
      </c>
      <c r="E478" s="31">
        <v>123108.1</v>
      </c>
      <c r="F478" s="31">
        <v>0</v>
      </c>
      <c r="G478" s="31">
        <v>631143.55000000005</v>
      </c>
      <c r="H478" s="31">
        <v>184790.11</v>
      </c>
      <c r="I478" s="31">
        <v>395213.98</v>
      </c>
      <c r="J478" s="31">
        <v>0</v>
      </c>
      <c r="K478" s="33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f>ROUND((E478+F478+G478+H478+I478+J478)*1.5%,2)</f>
        <v>20013.84</v>
      </c>
      <c r="AD478" s="31">
        <v>0</v>
      </c>
      <c r="AE478" s="31">
        <v>0</v>
      </c>
      <c r="AF478" s="34" t="s">
        <v>274</v>
      </c>
      <c r="AG478" s="34">
        <v>2020</v>
      </c>
      <c r="AH478" s="35">
        <v>2020</v>
      </c>
      <c r="BZ478" s="71"/>
      <c r="CD478" s="20" t="e">
        <f t="shared" si="92"/>
        <v>#N/A</v>
      </c>
    </row>
    <row r="479" spans="1:82" ht="61.5" x14ac:dyDescent="0.85">
      <c r="A479" s="20">
        <v>1</v>
      </c>
      <c r="B479" s="66">
        <f>SUBTOTAL(103,$A$22:A479)</f>
        <v>409</v>
      </c>
      <c r="C479" s="24" t="s">
        <v>1283</v>
      </c>
      <c r="D479" s="31">
        <f t="shared" si="94"/>
        <v>1409084.5899999999</v>
      </c>
      <c r="E479" s="31">
        <v>0</v>
      </c>
      <c r="F479" s="31">
        <v>0</v>
      </c>
      <c r="G479" s="31">
        <v>1388260.68</v>
      </c>
      <c r="H479" s="31">
        <v>0</v>
      </c>
      <c r="I479" s="31">
        <v>0</v>
      </c>
      <c r="J479" s="31">
        <v>0</v>
      </c>
      <c r="K479" s="33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f>ROUND((E479+F479+G479+H479+I479+J479)*1.5%,2)</f>
        <v>20823.91</v>
      </c>
      <c r="AD479" s="31">
        <v>0</v>
      </c>
      <c r="AE479" s="31">
        <v>0</v>
      </c>
      <c r="AF479" s="34" t="s">
        <v>274</v>
      </c>
      <c r="AG479" s="34">
        <v>2020</v>
      </c>
      <c r="AH479" s="35">
        <v>2020</v>
      </c>
      <c r="BZ479" s="71"/>
      <c r="CD479" s="20" t="e">
        <f t="shared" si="92"/>
        <v>#N/A</v>
      </c>
    </row>
    <row r="480" spans="1:82" ht="61.5" x14ac:dyDescent="0.85">
      <c r="A480" s="20">
        <v>1</v>
      </c>
      <c r="B480" s="66">
        <f>SUBTOTAL(103,$A$22:A480)</f>
        <v>410</v>
      </c>
      <c r="C480" s="24" t="s">
        <v>1311</v>
      </c>
      <c r="D480" s="31">
        <f t="shared" si="94"/>
        <v>2817203.62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3">
        <v>0</v>
      </c>
      <c r="L480" s="31">
        <v>0</v>
      </c>
      <c r="M480" s="31">
        <v>500</v>
      </c>
      <c r="N480" s="31">
        <v>2721315.37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f>ROUND(N480*1.5%,2)</f>
        <v>40819.730000000003</v>
      </c>
      <c r="AD480" s="31">
        <v>55068.52</v>
      </c>
      <c r="AE480" s="31">
        <v>0</v>
      </c>
      <c r="AF480" s="34">
        <v>2020</v>
      </c>
      <c r="AG480" s="34">
        <v>2020</v>
      </c>
      <c r="AH480" s="35">
        <v>2020</v>
      </c>
      <c r="BZ480" s="71"/>
      <c r="CD480" s="20">
        <f t="shared" si="92"/>
        <v>500</v>
      </c>
    </row>
    <row r="481" spans="1:82" ht="61.5" x14ac:dyDescent="0.85">
      <c r="A481" s="20">
        <v>1</v>
      </c>
      <c r="B481" s="66">
        <f>SUBTOTAL(103,$A$22:A481)</f>
        <v>411</v>
      </c>
      <c r="C481" s="24" t="s">
        <v>1312</v>
      </c>
      <c r="D481" s="31">
        <f>E481+F481+G481+H481+I481+J481+L481+N481+P481+R481+T481+U481+V481+W481+X481+Y481+Z481+AA481+AB481+AC481+AD481+AE481</f>
        <v>4994309.25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3">
        <v>0</v>
      </c>
      <c r="L481" s="31">
        <v>0</v>
      </c>
      <c r="M481" s="31">
        <v>958</v>
      </c>
      <c r="N481" s="31">
        <v>4823000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f>ROUND(N481*1.5%,2)</f>
        <v>72345</v>
      </c>
      <c r="AD481" s="31">
        <v>98964.25</v>
      </c>
      <c r="AE481" s="31">
        <v>0</v>
      </c>
      <c r="AF481" s="34">
        <v>2020</v>
      </c>
      <c r="AG481" s="34">
        <v>2020</v>
      </c>
      <c r="AH481" s="35">
        <v>2020</v>
      </c>
      <c r="BZ481" s="71"/>
      <c r="CD481" s="20">
        <f t="shared" si="92"/>
        <v>958</v>
      </c>
    </row>
    <row r="482" spans="1:82" ht="61.5" x14ac:dyDescent="0.85">
      <c r="A482" s="20">
        <v>1</v>
      </c>
      <c r="B482" s="66">
        <f>SUBTOTAL(103,$A$22:A482)</f>
        <v>412</v>
      </c>
      <c r="C482" s="24" t="s">
        <v>1604</v>
      </c>
      <c r="D482" s="31">
        <f>E482+F482+G482+H482+I482+J482+L482+N482+P482+R482+T482+U482+V482+W482+X482+Y482+Z482+AA482+AB482+AC482+AD482+AE482</f>
        <v>3228279.17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3">
        <v>0</v>
      </c>
      <c r="L482" s="31">
        <v>0</v>
      </c>
      <c r="M482" s="31">
        <v>524.36</v>
      </c>
      <c r="N482" s="31">
        <f>2577638.47+532019.7</f>
        <v>3109658.17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f>ROUND(N482*1.5%,2)</f>
        <v>46644.87</v>
      </c>
      <c r="AD482" s="31">
        <v>71976.13</v>
      </c>
      <c r="AE482" s="31">
        <v>0</v>
      </c>
      <c r="AF482" s="34">
        <v>2020</v>
      </c>
      <c r="AG482" s="34">
        <v>2020</v>
      </c>
      <c r="AH482" s="35">
        <v>2020</v>
      </c>
      <c r="BZ482" s="71"/>
      <c r="CD482" s="20" t="e">
        <f t="shared" si="92"/>
        <v>#N/A</v>
      </c>
    </row>
    <row r="483" spans="1:82" ht="61.5" x14ac:dyDescent="0.85">
      <c r="A483" s="20">
        <v>1</v>
      </c>
      <c r="B483" s="66">
        <f>SUBTOTAL(103,$A$22:A483)</f>
        <v>413</v>
      </c>
      <c r="C483" s="24" t="s">
        <v>153</v>
      </c>
      <c r="D483" s="31">
        <f>E483+F483+G483+H483+I483+J483+L483+N483+P483+R483+T483+U483+V483+W483+X483+Y483+Z483+AA483+AB483+AC483+AD483+AE483</f>
        <v>4659445.5299999993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3">
        <v>0</v>
      </c>
      <c r="L483" s="31">
        <v>0</v>
      </c>
      <c r="M483" s="31">
        <v>833.9</v>
      </c>
      <c r="N483" s="31">
        <v>4590586.7299999995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f>ROUND(N483*1.5%,2)</f>
        <v>68858.8</v>
      </c>
      <c r="AD483" s="31">
        <v>0</v>
      </c>
      <c r="AE483" s="31">
        <v>0</v>
      </c>
      <c r="AF483" s="34" t="s">
        <v>274</v>
      </c>
      <c r="AG483" s="34">
        <v>2020</v>
      </c>
      <c r="AH483" s="35">
        <v>2020</v>
      </c>
      <c r="AT483" s="20" t="e">
        <f>VLOOKUP(C483,AW:AX,2,FALSE)</f>
        <v>#N/A</v>
      </c>
      <c r="BZ483" s="71"/>
      <c r="CD483" s="20">
        <f t="shared" si="92"/>
        <v>833.9</v>
      </c>
    </row>
    <row r="484" spans="1:82" ht="61.5" x14ac:dyDescent="0.85">
      <c r="A484" s="20">
        <v>1</v>
      </c>
      <c r="B484" s="66">
        <f>SUBTOTAL(103,$A$22:A484)</f>
        <v>414</v>
      </c>
      <c r="C484" s="24" t="s">
        <v>154</v>
      </c>
      <c r="D484" s="31">
        <f>E484+F484+G484+H484+I484+J484+L484+N484+P484+R484+T484+U484+V484+W484+X484+Y484+Z484+AA484+AB484+AC484+AD484+AE484</f>
        <v>4344480.5299999993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3">
        <v>0</v>
      </c>
      <c r="L484" s="31">
        <v>0</v>
      </c>
      <c r="M484" s="31">
        <v>1035.9000000000001</v>
      </c>
      <c r="N484" s="31">
        <v>4280276.379999999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f>ROUND(N484*1.5%,2)</f>
        <v>64204.15</v>
      </c>
      <c r="AD484" s="31">
        <v>0</v>
      </c>
      <c r="AE484" s="31">
        <v>0</v>
      </c>
      <c r="AF484" s="34" t="s">
        <v>274</v>
      </c>
      <c r="AG484" s="34">
        <v>2020</v>
      </c>
      <c r="AH484" s="35">
        <v>2020</v>
      </c>
      <c r="AT484" s="20" t="e">
        <f>VLOOKUP(C484,AW:AX,2,FALSE)</f>
        <v>#N/A</v>
      </c>
      <c r="BZ484" s="71"/>
      <c r="CD484" s="20">
        <f t="shared" si="92"/>
        <v>1035.9000000000001</v>
      </c>
    </row>
    <row r="485" spans="1:82" ht="61.5" x14ac:dyDescent="0.85">
      <c r="B485" s="24" t="s">
        <v>878</v>
      </c>
      <c r="C485" s="24"/>
      <c r="D485" s="31">
        <f>SUM(D486:D493)</f>
        <v>34433820.410000004</v>
      </c>
      <c r="E485" s="31">
        <f t="shared" ref="E485:AE485" si="95">SUM(E486:E493)</f>
        <v>0</v>
      </c>
      <c r="F485" s="31">
        <f t="shared" si="95"/>
        <v>0</v>
      </c>
      <c r="G485" s="31">
        <f t="shared" si="95"/>
        <v>3848168.19</v>
      </c>
      <c r="H485" s="31">
        <f t="shared" si="95"/>
        <v>0</v>
      </c>
      <c r="I485" s="31">
        <f t="shared" si="95"/>
        <v>0</v>
      </c>
      <c r="J485" s="31">
        <f t="shared" si="95"/>
        <v>0</v>
      </c>
      <c r="K485" s="33">
        <f t="shared" si="95"/>
        <v>0</v>
      </c>
      <c r="L485" s="31">
        <f t="shared" si="95"/>
        <v>0</v>
      </c>
      <c r="M485" s="31">
        <f t="shared" si="95"/>
        <v>6583.74</v>
      </c>
      <c r="N485" s="31">
        <f t="shared" si="95"/>
        <v>28980340.710000001</v>
      </c>
      <c r="O485" s="31">
        <f t="shared" si="95"/>
        <v>192</v>
      </c>
      <c r="P485" s="31">
        <f t="shared" si="95"/>
        <v>518485.12</v>
      </c>
      <c r="Q485" s="31">
        <f t="shared" si="95"/>
        <v>0</v>
      </c>
      <c r="R485" s="31">
        <f t="shared" si="95"/>
        <v>0</v>
      </c>
      <c r="S485" s="31">
        <f t="shared" si="95"/>
        <v>0</v>
      </c>
      <c r="T485" s="31">
        <f t="shared" si="95"/>
        <v>0</v>
      </c>
      <c r="U485" s="31">
        <f t="shared" si="95"/>
        <v>0</v>
      </c>
      <c r="V485" s="31">
        <f t="shared" si="95"/>
        <v>0</v>
      </c>
      <c r="W485" s="31">
        <f t="shared" si="95"/>
        <v>0</v>
      </c>
      <c r="X485" s="31">
        <f t="shared" si="95"/>
        <v>0</v>
      </c>
      <c r="Y485" s="31">
        <f t="shared" si="95"/>
        <v>0</v>
      </c>
      <c r="Z485" s="31">
        <f t="shared" si="95"/>
        <v>0</v>
      </c>
      <c r="AA485" s="31">
        <f t="shared" si="95"/>
        <v>0</v>
      </c>
      <c r="AB485" s="31">
        <f t="shared" si="95"/>
        <v>0</v>
      </c>
      <c r="AC485" s="31">
        <f t="shared" si="95"/>
        <v>500204.92</v>
      </c>
      <c r="AD485" s="31">
        <f t="shared" si="95"/>
        <v>466621.47000000003</v>
      </c>
      <c r="AE485" s="31">
        <f t="shared" si="95"/>
        <v>120000</v>
      </c>
      <c r="AF485" s="72" t="s">
        <v>776</v>
      </c>
      <c r="AG485" s="72" t="s">
        <v>776</v>
      </c>
      <c r="AH485" s="88" t="s">
        <v>776</v>
      </c>
      <c r="AT485" s="20" t="e">
        <f>VLOOKUP(C485,AW:AX,2,FALSE)</f>
        <v>#N/A</v>
      </c>
      <c r="BZ485" s="71">
        <v>38327194.07</v>
      </c>
      <c r="CD485" s="20" t="e">
        <f t="shared" si="92"/>
        <v>#N/A</v>
      </c>
    </row>
    <row r="486" spans="1:82" ht="61.5" x14ac:dyDescent="0.85">
      <c r="A486" s="20">
        <v>1</v>
      </c>
      <c r="B486" s="66">
        <f>SUBTOTAL(103,$A$22:A486)</f>
        <v>415</v>
      </c>
      <c r="C486" s="24" t="s">
        <v>138</v>
      </c>
      <c r="D486" s="31">
        <f t="shared" ref="D486:D493" si="96">E486+F486+G486+H486+I486+J486+L486+N486+P486+R486+T486+U486+V486+W486+X486+Y486+Z486+AA486+AB486+AC486+AD486+AE486</f>
        <v>3588120.2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3">
        <v>0</v>
      </c>
      <c r="L486" s="31">
        <v>0</v>
      </c>
      <c r="M486" s="31">
        <v>1062.4000000000001</v>
      </c>
      <c r="N486" s="31">
        <f>6060508.67-ROUND(2563296.1*100/101.5,2)</f>
        <v>3535093.79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f t="shared" ref="AC486:AC491" si="97">ROUND(N486*1.5%,2)</f>
        <v>53026.41</v>
      </c>
      <c r="AD486" s="31">
        <v>0</v>
      </c>
      <c r="AE486" s="31">
        <v>0</v>
      </c>
      <c r="AF486" s="34" t="s">
        <v>274</v>
      </c>
      <c r="AG486" s="34">
        <v>2020</v>
      </c>
      <c r="AH486" s="35">
        <v>2020</v>
      </c>
      <c r="AT486" s="20" t="e">
        <f>VLOOKUP(C486,AW:AX,2,FALSE)</f>
        <v>#N/A</v>
      </c>
      <c r="BZ486" s="71"/>
      <c r="CD486" s="20">
        <f t="shared" si="92"/>
        <v>1062.4000000000001</v>
      </c>
    </row>
    <row r="487" spans="1:82" ht="61.5" x14ac:dyDescent="0.85">
      <c r="A487" s="20">
        <v>1</v>
      </c>
      <c r="B487" s="66">
        <f>SUBTOTAL(103,$A$22:A487)</f>
        <v>416</v>
      </c>
      <c r="C487" s="24" t="s">
        <v>140</v>
      </c>
      <c r="D487" s="31">
        <f t="shared" si="96"/>
        <v>2381202.33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3">
        <v>0</v>
      </c>
      <c r="L487" s="31">
        <v>0</v>
      </c>
      <c r="M487" s="31">
        <v>515.47</v>
      </c>
      <c r="N487" s="31">
        <v>2258747.04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f t="shared" si="97"/>
        <v>33881.21</v>
      </c>
      <c r="AD487" s="31">
        <v>88574.080000000002</v>
      </c>
      <c r="AE487" s="31">
        <v>0</v>
      </c>
      <c r="AF487" s="34">
        <v>2020</v>
      </c>
      <c r="AG487" s="34">
        <v>2020</v>
      </c>
      <c r="AH487" s="35">
        <v>2020</v>
      </c>
      <c r="AT487" s="20" t="e">
        <f>VLOOKUP(C487,AW:AX,2,FALSE)</f>
        <v>#N/A</v>
      </c>
      <c r="BZ487" s="71"/>
      <c r="CD487" s="20" t="e">
        <f t="shared" si="92"/>
        <v>#N/A</v>
      </c>
    </row>
    <row r="488" spans="1:82" ht="61.5" x14ac:dyDescent="0.85">
      <c r="A488" s="20">
        <v>1</v>
      </c>
      <c r="B488" s="66">
        <f>SUBTOTAL(103,$A$22:A488)</f>
        <v>417</v>
      </c>
      <c r="C488" s="24" t="s">
        <v>149</v>
      </c>
      <c r="D488" s="31">
        <f t="shared" si="96"/>
        <v>8666833.0800000001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3">
        <v>0</v>
      </c>
      <c r="L488" s="31">
        <v>0</v>
      </c>
      <c r="M488" s="31">
        <v>1664.04</v>
      </c>
      <c r="N488" s="31">
        <v>8383531.1100000003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f t="shared" si="97"/>
        <v>125752.97</v>
      </c>
      <c r="AD488" s="31">
        <v>157549</v>
      </c>
      <c r="AE488" s="31">
        <v>0</v>
      </c>
      <c r="AF488" s="34">
        <v>2020</v>
      </c>
      <c r="AG488" s="34">
        <v>2020</v>
      </c>
      <c r="AH488" s="35">
        <v>2020</v>
      </c>
      <c r="AT488" s="20" t="e">
        <f>VLOOKUP(C488,AW$488:AX$488,2,FALSE)</f>
        <v>#N/A</v>
      </c>
      <c r="BZ488" s="71"/>
      <c r="CD488" s="20" t="e">
        <f t="shared" si="92"/>
        <v>#N/A</v>
      </c>
    </row>
    <row r="489" spans="1:82" ht="61.5" x14ac:dyDescent="0.85">
      <c r="A489" s="20">
        <v>1</v>
      </c>
      <c r="B489" s="66">
        <f>SUBTOTAL(103,$A$22:A489)</f>
        <v>418</v>
      </c>
      <c r="C489" s="24" t="s">
        <v>1286</v>
      </c>
      <c r="D489" s="31">
        <f t="shared" si="96"/>
        <v>4735077.3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3">
        <v>0</v>
      </c>
      <c r="L489" s="31">
        <v>0</v>
      </c>
      <c r="M489" s="31">
        <v>1105</v>
      </c>
      <c r="N489" s="31">
        <v>4517697.5199999996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f t="shared" si="97"/>
        <v>67765.460000000006</v>
      </c>
      <c r="AD489" s="31">
        <v>29614.32</v>
      </c>
      <c r="AE489" s="31">
        <v>120000</v>
      </c>
      <c r="AF489" s="34">
        <v>2020</v>
      </c>
      <c r="AG489" s="34">
        <v>2020</v>
      </c>
      <c r="AH489" s="35">
        <v>2020</v>
      </c>
      <c r="BZ489" s="71"/>
      <c r="CD489" s="20">
        <f t="shared" si="92"/>
        <v>1105</v>
      </c>
    </row>
    <row r="490" spans="1:82" ht="61.5" x14ac:dyDescent="0.85">
      <c r="A490" s="20">
        <v>1</v>
      </c>
      <c r="B490" s="66">
        <f>SUBTOTAL(103,$A$22:A490)</f>
        <v>419</v>
      </c>
      <c r="C490" s="24" t="s">
        <v>1287</v>
      </c>
      <c r="D490" s="31">
        <f t="shared" si="96"/>
        <v>3408422.6399999997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3">
        <v>0</v>
      </c>
      <c r="L490" s="31">
        <v>0</v>
      </c>
      <c r="M490" s="31">
        <v>835.43</v>
      </c>
      <c r="N490" s="207">
        <v>3358051.86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f t="shared" si="97"/>
        <v>50370.78</v>
      </c>
      <c r="AD490" s="31">
        <v>0</v>
      </c>
      <c r="AE490" s="31">
        <v>0</v>
      </c>
      <c r="AF490" s="34" t="s">
        <v>274</v>
      </c>
      <c r="AG490" s="34">
        <v>2020</v>
      </c>
      <c r="AH490" s="35">
        <v>2020</v>
      </c>
      <c r="BZ490" s="71"/>
      <c r="CD490" s="20">
        <f t="shared" si="92"/>
        <v>835.43</v>
      </c>
    </row>
    <row r="491" spans="1:82" ht="61.5" x14ac:dyDescent="0.85">
      <c r="A491" s="20">
        <v>1</v>
      </c>
      <c r="B491" s="66">
        <f>SUBTOTAL(103,$A$22:A491)</f>
        <v>420</v>
      </c>
      <c r="C491" s="24" t="s">
        <v>1288</v>
      </c>
      <c r="D491" s="31">
        <f t="shared" si="96"/>
        <v>7031127.6799999997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3">
        <v>0</v>
      </c>
      <c r="L491" s="31">
        <v>0</v>
      </c>
      <c r="M491" s="31">
        <v>1401.4</v>
      </c>
      <c r="N491" s="31">
        <f>6898654.81+28564.58</f>
        <v>6927219.3899999997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f t="shared" si="97"/>
        <v>103908.29</v>
      </c>
      <c r="AD491" s="31">
        <v>0</v>
      </c>
      <c r="AE491" s="31">
        <v>0</v>
      </c>
      <c r="AF491" s="34" t="s">
        <v>274</v>
      </c>
      <c r="AG491" s="34">
        <v>2020</v>
      </c>
      <c r="AH491" s="35">
        <v>2020</v>
      </c>
      <c r="BZ491" s="71"/>
      <c r="CD491" s="20">
        <f t="shared" si="92"/>
        <v>1401.4</v>
      </c>
    </row>
    <row r="492" spans="1:82" ht="61.5" x14ac:dyDescent="0.85">
      <c r="A492" s="20">
        <v>1</v>
      </c>
      <c r="B492" s="66">
        <f>SUBTOTAL(103,$A$22:A492)</f>
        <v>421</v>
      </c>
      <c r="C492" s="24" t="s">
        <v>170</v>
      </c>
      <c r="D492" s="31">
        <f t="shared" si="96"/>
        <v>598259.23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3">
        <v>0</v>
      </c>
      <c r="L492" s="31">
        <v>0</v>
      </c>
      <c r="M492" s="31">
        <v>0</v>
      </c>
      <c r="N492" s="31">
        <v>0</v>
      </c>
      <c r="O492" s="31">
        <v>192</v>
      </c>
      <c r="P492" s="31">
        <v>518485.12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f>ROUND(P492*1.5%,2)</f>
        <v>7777.28</v>
      </c>
      <c r="AD492" s="31">
        <v>71996.83</v>
      </c>
      <c r="AE492" s="31">
        <v>0</v>
      </c>
      <c r="AF492" s="34">
        <v>2020</v>
      </c>
      <c r="AG492" s="34">
        <v>2020</v>
      </c>
      <c r="AH492" s="35">
        <v>2020</v>
      </c>
      <c r="AT492" s="20" t="e">
        <f>VLOOKUP(C492,AW:AX,2,FALSE)</f>
        <v>#N/A</v>
      </c>
      <c r="BZ492" s="71"/>
      <c r="CD492" s="20" t="e">
        <f t="shared" si="92"/>
        <v>#N/A</v>
      </c>
    </row>
    <row r="493" spans="1:82" ht="61.5" x14ac:dyDescent="0.85">
      <c r="A493" s="20">
        <v>1</v>
      </c>
      <c r="B493" s="66">
        <f>SUBTOTAL(103,$A$22:A493)</f>
        <v>422</v>
      </c>
      <c r="C493" s="24" t="s">
        <v>1310</v>
      </c>
      <c r="D493" s="31">
        <f t="shared" si="96"/>
        <v>4024777.95</v>
      </c>
      <c r="E493" s="31">
        <v>0</v>
      </c>
      <c r="F493" s="31">
        <v>0</v>
      </c>
      <c r="G493" s="31">
        <f>3966394.79-118226.6</f>
        <v>3848168.19</v>
      </c>
      <c r="H493" s="31">
        <v>0</v>
      </c>
      <c r="I493" s="31">
        <v>0</v>
      </c>
      <c r="J493" s="31">
        <v>0</v>
      </c>
      <c r="K493" s="33">
        <v>0</v>
      </c>
      <c r="L493" s="31">
        <v>0</v>
      </c>
      <c r="M493" s="89">
        <v>0</v>
      </c>
      <c r="N493" s="89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f>ROUND((E493+F493+G493+H493+I493+J493)*1.5%,2)</f>
        <v>57722.52</v>
      </c>
      <c r="AD493" s="31">
        <v>118887.24</v>
      </c>
      <c r="AE493" s="31">
        <v>0</v>
      </c>
      <c r="AF493" s="34">
        <v>2020</v>
      </c>
      <c r="AG493" s="34">
        <v>2020</v>
      </c>
      <c r="AH493" s="35">
        <v>2020</v>
      </c>
      <c r="BZ493" s="71"/>
      <c r="CD493" s="20" t="e">
        <f t="shared" si="92"/>
        <v>#N/A</v>
      </c>
    </row>
    <row r="494" spans="1:82" ht="61.5" x14ac:dyDescent="0.85">
      <c r="B494" s="24" t="s">
        <v>1284</v>
      </c>
      <c r="C494" s="24"/>
      <c r="D494" s="31">
        <f>D495</f>
        <v>1499263.62</v>
      </c>
      <c r="E494" s="31">
        <f t="shared" ref="E494:AE494" si="98">E495</f>
        <v>0</v>
      </c>
      <c r="F494" s="31">
        <f t="shared" si="98"/>
        <v>0</v>
      </c>
      <c r="G494" s="31">
        <f t="shared" si="98"/>
        <v>0</v>
      </c>
      <c r="H494" s="31">
        <f t="shared" si="98"/>
        <v>0</v>
      </c>
      <c r="I494" s="31">
        <f t="shared" si="98"/>
        <v>0</v>
      </c>
      <c r="J494" s="31">
        <f t="shared" si="98"/>
        <v>0</v>
      </c>
      <c r="K494" s="33">
        <f t="shared" si="98"/>
        <v>0</v>
      </c>
      <c r="L494" s="31">
        <f t="shared" si="98"/>
        <v>0</v>
      </c>
      <c r="M494" s="31">
        <f t="shared" si="98"/>
        <v>484.49</v>
      </c>
      <c r="N494" s="31">
        <f t="shared" si="98"/>
        <v>1477107.01</v>
      </c>
      <c r="O494" s="31">
        <f t="shared" si="98"/>
        <v>0</v>
      </c>
      <c r="P494" s="31">
        <f t="shared" si="98"/>
        <v>0</v>
      </c>
      <c r="Q494" s="31">
        <f t="shared" si="98"/>
        <v>0</v>
      </c>
      <c r="R494" s="31">
        <f t="shared" si="98"/>
        <v>0</v>
      </c>
      <c r="S494" s="31">
        <f t="shared" si="98"/>
        <v>0</v>
      </c>
      <c r="T494" s="31">
        <f t="shared" si="98"/>
        <v>0</v>
      </c>
      <c r="U494" s="31">
        <f t="shared" si="98"/>
        <v>0</v>
      </c>
      <c r="V494" s="31">
        <f t="shared" si="98"/>
        <v>0</v>
      </c>
      <c r="W494" s="31">
        <f t="shared" si="98"/>
        <v>0</v>
      </c>
      <c r="X494" s="31">
        <f t="shared" si="98"/>
        <v>0</v>
      </c>
      <c r="Y494" s="31">
        <f t="shared" si="98"/>
        <v>0</v>
      </c>
      <c r="Z494" s="31">
        <f t="shared" si="98"/>
        <v>0</v>
      </c>
      <c r="AA494" s="31">
        <f t="shared" si="98"/>
        <v>0</v>
      </c>
      <c r="AB494" s="31">
        <f t="shared" si="98"/>
        <v>0</v>
      </c>
      <c r="AC494" s="31">
        <f t="shared" si="98"/>
        <v>22156.61</v>
      </c>
      <c r="AD494" s="31">
        <f t="shared" si="98"/>
        <v>0</v>
      </c>
      <c r="AE494" s="31">
        <f t="shared" si="98"/>
        <v>0</v>
      </c>
      <c r="AF494" s="72" t="s">
        <v>776</v>
      </c>
      <c r="AG494" s="72" t="s">
        <v>776</v>
      </c>
      <c r="AH494" s="88" t="s">
        <v>776</v>
      </c>
      <c r="BZ494" s="71">
        <v>2298882.5099999998</v>
      </c>
      <c r="CD494" s="20" t="e">
        <f t="shared" si="92"/>
        <v>#N/A</v>
      </c>
    </row>
    <row r="495" spans="1:82" ht="61.5" x14ac:dyDescent="0.85">
      <c r="A495" s="20">
        <v>1</v>
      </c>
      <c r="B495" s="66">
        <f>SUBTOTAL(103,$A$22:A495)</f>
        <v>423</v>
      </c>
      <c r="C495" s="24" t="s">
        <v>1285</v>
      </c>
      <c r="D495" s="31">
        <f>E495+F495+G495+H495+I495+J495+L495+N495+P495+R495+T495+U495+V495+W495+X495+Y495+Z495+AA495+AB495+AC495+AD495+AE495</f>
        <v>1499263.62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3">
        <v>0</v>
      </c>
      <c r="L495" s="31">
        <v>0</v>
      </c>
      <c r="M495" s="31">
        <v>484.49</v>
      </c>
      <c r="N495" s="31">
        <v>1477107.01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f>ROUND(N495*1.5%,2)</f>
        <v>22156.61</v>
      </c>
      <c r="AD495" s="31">
        <v>0</v>
      </c>
      <c r="AE495" s="31">
        <v>0</v>
      </c>
      <c r="AF495" s="34" t="s">
        <v>274</v>
      </c>
      <c r="AG495" s="34">
        <v>2020</v>
      </c>
      <c r="AH495" s="35">
        <v>2020</v>
      </c>
      <c r="BZ495" s="71"/>
      <c r="CD495" s="20">
        <f t="shared" si="92"/>
        <v>467.74</v>
      </c>
    </row>
    <row r="496" spans="1:82" ht="61.5" x14ac:dyDescent="0.85">
      <c r="B496" s="24" t="s">
        <v>1075</v>
      </c>
      <c r="C496" s="24"/>
      <c r="D496" s="31">
        <f>D497</f>
        <v>474650.14999999997</v>
      </c>
      <c r="E496" s="31">
        <f t="shared" ref="E496:AE496" si="99">E497</f>
        <v>0</v>
      </c>
      <c r="F496" s="31">
        <f t="shared" si="99"/>
        <v>0</v>
      </c>
      <c r="G496" s="31">
        <f t="shared" si="99"/>
        <v>0</v>
      </c>
      <c r="H496" s="31">
        <f t="shared" si="99"/>
        <v>0</v>
      </c>
      <c r="I496" s="31">
        <f t="shared" si="99"/>
        <v>0</v>
      </c>
      <c r="J496" s="31">
        <f t="shared" si="99"/>
        <v>0</v>
      </c>
      <c r="K496" s="33">
        <f t="shared" si="99"/>
        <v>0</v>
      </c>
      <c r="L496" s="31">
        <f t="shared" si="99"/>
        <v>0</v>
      </c>
      <c r="M496" s="31">
        <f t="shared" si="99"/>
        <v>0</v>
      </c>
      <c r="N496" s="31">
        <f t="shared" si="99"/>
        <v>0</v>
      </c>
      <c r="O496" s="31">
        <f t="shared" si="99"/>
        <v>0</v>
      </c>
      <c r="P496" s="31">
        <f t="shared" si="99"/>
        <v>0</v>
      </c>
      <c r="Q496" s="31">
        <f t="shared" si="99"/>
        <v>119.3</v>
      </c>
      <c r="R496" s="31">
        <f t="shared" si="99"/>
        <v>362161.55</v>
      </c>
      <c r="S496" s="31">
        <f t="shared" si="99"/>
        <v>0</v>
      </c>
      <c r="T496" s="31">
        <f t="shared" si="99"/>
        <v>0</v>
      </c>
      <c r="U496" s="31">
        <f t="shared" si="99"/>
        <v>0</v>
      </c>
      <c r="V496" s="31">
        <f t="shared" si="99"/>
        <v>0</v>
      </c>
      <c r="W496" s="31">
        <f t="shared" si="99"/>
        <v>0</v>
      </c>
      <c r="X496" s="31">
        <f t="shared" si="99"/>
        <v>0</v>
      </c>
      <c r="Y496" s="31">
        <f t="shared" si="99"/>
        <v>0</v>
      </c>
      <c r="Z496" s="31">
        <f t="shared" si="99"/>
        <v>0</v>
      </c>
      <c r="AA496" s="31">
        <f t="shared" si="99"/>
        <v>0</v>
      </c>
      <c r="AB496" s="31">
        <f t="shared" si="99"/>
        <v>0</v>
      </c>
      <c r="AC496" s="31">
        <f t="shared" si="99"/>
        <v>5432.42</v>
      </c>
      <c r="AD496" s="31">
        <f t="shared" si="99"/>
        <v>107056.18</v>
      </c>
      <c r="AE496" s="31">
        <f t="shared" si="99"/>
        <v>0</v>
      </c>
      <c r="AF496" s="72" t="s">
        <v>776</v>
      </c>
      <c r="AG496" s="72" t="s">
        <v>776</v>
      </c>
      <c r="AH496" s="88" t="s">
        <v>776</v>
      </c>
      <c r="BZ496" s="71">
        <v>467593.97</v>
      </c>
      <c r="CD496" s="20" t="e">
        <f t="shared" si="92"/>
        <v>#N/A</v>
      </c>
    </row>
    <row r="497" spans="1:83" ht="61.5" x14ac:dyDescent="0.85">
      <c r="A497" s="20">
        <v>1</v>
      </c>
      <c r="B497" s="66">
        <f>SUBTOTAL(103,$A$22:A497)</f>
        <v>424</v>
      </c>
      <c r="C497" s="24" t="s">
        <v>1063</v>
      </c>
      <c r="D497" s="31">
        <f>E497+F497+G497+H497+I497+J497+L497+N497+P497+R497+T497+U497+V497+W497+X497+Y497+Z497+AA497+AB497+AC497+AD497+AE497</f>
        <v>474650.14999999997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3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119.3</v>
      </c>
      <c r="R497" s="31">
        <f>362161.55</f>
        <v>362161.55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f>ROUND(R497*1.5%,2)</f>
        <v>5432.42</v>
      </c>
      <c r="AD497" s="31">
        <v>107056.18</v>
      </c>
      <c r="AE497" s="31">
        <v>0</v>
      </c>
      <c r="AF497" s="34">
        <v>2020</v>
      </c>
      <c r="AG497" s="34">
        <v>2020</v>
      </c>
      <c r="AH497" s="35">
        <v>2020</v>
      </c>
      <c r="BZ497" s="71"/>
      <c r="CD497" s="20" t="e">
        <f t="shared" si="92"/>
        <v>#N/A</v>
      </c>
    </row>
    <row r="498" spans="1:83" ht="61.5" x14ac:dyDescent="0.85">
      <c r="B498" s="24" t="s">
        <v>879</v>
      </c>
      <c r="C498" s="129"/>
      <c r="D498" s="31">
        <f>SUM(D499:D503)</f>
        <v>11363935.41</v>
      </c>
      <c r="E498" s="31">
        <f t="shared" ref="E498:AE498" si="100">SUM(E499:E503)</f>
        <v>0</v>
      </c>
      <c r="F498" s="31">
        <f t="shared" si="100"/>
        <v>0</v>
      </c>
      <c r="G498" s="31">
        <f t="shared" si="100"/>
        <v>0</v>
      </c>
      <c r="H498" s="31">
        <f t="shared" si="100"/>
        <v>0</v>
      </c>
      <c r="I498" s="31">
        <f t="shared" si="100"/>
        <v>0</v>
      </c>
      <c r="J498" s="31">
        <f t="shared" si="100"/>
        <v>0</v>
      </c>
      <c r="K498" s="33">
        <f t="shared" si="100"/>
        <v>0</v>
      </c>
      <c r="L498" s="31">
        <f t="shared" si="100"/>
        <v>0</v>
      </c>
      <c r="M498" s="31">
        <f t="shared" si="100"/>
        <v>1553.2</v>
      </c>
      <c r="N498" s="31">
        <f t="shared" si="100"/>
        <v>5735011.7999999998</v>
      </c>
      <c r="O498" s="31">
        <f t="shared" si="100"/>
        <v>0</v>
      </c>
      <c r="P498" s="31">
        <f t="shared" si="100"/>
        <v>0</v>
      </c>
      <c r="Q498" s="31">
        <f t="shared" si="100"/>
        <v>1654.1599999999999</v>
      </c>
      <c r="R498" s="31">
        <f t="shared" si="100"/>
        <v>5263193.63</v>
      </c>
      <c r="S498" s="31">
        <f t="shared" si="100"/>
        <v>0</v>
      </c>
      <c r="T498" s="31">
        <f t="shared" si="100"/>
        <v>0</v>
      </c>
      <c r="U498" s="31">
        <f t="shared" si="100"/>
        <v>0</v>
      </c>
      <c r="V498" s="31">
        <f t="shared" si="100"/>
        <v>0</v>
      </c>
      <c r="W498" s="31">
        <f t="shared" si="100"/>
        <v>0</v>
      </c>
      <c r="X498" s="31">
        <f t="shared" si="100"/>
        <v>0</v>
      </c>
      <c r="Y498" s="31">
        <f t="shared" si="100"/>
        <v>0</v>
      </c>
      <c r="Z498" s="31">
        <f t="shared" si="100"/>
        <v>0</v>
      </c>
      <c r="AA498" s="31">
        <f t="shared" si="100"/>
        <v>0</v>
      </c>
      <c r="AB498" s="31">
        <f t="shared" si="100"/>
        <v>0</v>
      </c>
      <c r="AC498" s="31">
        <f t="shared" si="100"/>
        <v>164973.08000000002</v>
      </c>
      <c r="AD498" s="31">
        <f t="shared" si="100"/>
        <v>80756.899999999994</v>
      </c>
      <c r="AE498" s="31">
        <f t="shared" si="100"/>
        <v>120000</v>
      </c>
      <c r="AF498" s="72" t="s">
        <v>776</v>
      </c>
      <c r="AG498" s="72" t="s">
        <v>776</v>
      </c>
      <c r="AH498" s="88" t="s">
        <v>776</v>
      </c>
      <c r="AT498" s="20" t="e">
        <f>VLOOKUP(C498,AW:AX,2,FALSE)</f>
        <v>#N/A</v>
      </c>
      <c r="BZ498" s="71">
        <v>11081040.970000001</v>
      </c>
      <c r="CB498" s="71">
        <f>BZ498-D498</f>
        <v>-282894.43999999948</v>
      </c>
      <c r="CC498" s="31">
        <v>10960961.029999999</v>
      </c>
      <c r="CD498" s="20" t="e">
        <f t="shared" si="92"/>
        <v>#N/A</v>
      </c>
      <c r="CE498" s="31">
        <f>CC498-D498</f>
        <v>-402974.38000000082</v>
      </c>
    </row>
    <row r="499" spans="1:83" ht="61.5" x14ac:dyDescent="0.85">
      <c r="A499" s="20">
        <v>1</v>
      </c>
      <c r="B499" s="66">
        <f>SUBTOTAL(103,$A$22:A499)</f>
        <v>425</v>
      </c>
      <c r="C499" s="24" t="s">
        <v>90</v>
      </c>
      <c r="D499" s="31">
        <f>E499+F499+G499+H499+I499+J499+L499+N499+P499+R499+T499+U499+V499+W499+X499+Y499+Z499+AA499+AB499+AC499+AD499+AE499</f>
        <v>2441218.5699999998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3">
        <v>0</v>
      </c>
      <c r="L499" s="31">
        <v>0</v>
      </c>
      <c r="M499" s="31">
        <v>629</v>
      </c>
      <c r="N499" s="31">
        <v>2325578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f>ROUND(N499*1.5%,2)</f>
        <v>34883.67</v>
      </c>
      <c r="AD499" s="31">
        <v>80756.899999999994</v>
      </c>
      <c r="AE499" s="31">
        <v>0</v>
      </c>
      <c r="AF499" s="34">
        <v>2020</v>
      </c>
      <c r="AG499" s="34">
        <v>2020</v>
      </c>
      <c r="AH499" s="35">
        <v>2020</v>
      </c>
      <c r="AT499" s="20" t="e">
        <f>VLOOKUP(C499,AW:AX,2,FALSE)</f>
        <v>#N/A</v>
      </c>
      <c r="BZ499" s="71"/>
      <c r="CD499" s="20" t="e">
        <f t="shared" si="92"/>
        <v>#N/A</v>
      </c>
    </row>
    <row r="500" spans="1:83" ht="61.5" x14ac:dyDescent="0.85">
      <c r="A500" s="20">
        <v>1</v>
      </c>
      <c r="B500" s="66">
        <f>SUBTOTAL(103,$A$22:A500)</f>
        <v>426</v>
      </c>
      <c r="C500" s="24" t="s">
        <v>91</v>
      </c>
      <c r="D500" s="31">
        <f>E500+F500+G500+H500+I500+J500+L500+N500+P500+R500+T500+U500+V500+W500+X500+Y500+Z500+AA500+AB500+AC500+AD500+AE500</f>
        <v>2331487.1100000003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3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486.31</v>
      </c>
      <c r="R500" s="31">
        <f>1997418.82+ROUND(1997418.82*0.15,2)</f>
        <v>2297031.64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f>ROUND(R500*1.5%,2)</f>
        <v>34455.47</v>
      </c>
      <c r="AD500" s="31">
        <v>0</v>
      </c>
      <c r="AE500" s="31">
        <v>0</v>
      </c>
      <c r="AF500" s="34" t="s">
        <v>274</v>
      </c>
      <c r="AG500" s="34">
        <v>2020</v>
      </c>
      <c r="AH500" s="35">
        <v>2020</v>
      </c>
      <c r="AT500" s="20" t="e">
        <f>VLOOKUP(C500,AW:AX,2,FALSE)</f>
        <v>#N/A</v>
      </c>
      <c r="BZ500" s="71"/>
      <c r="CD500" s="20" t="e">
        <f t="shared" si="92"/>
        <v>#N/A</v>
      </c>
    </row>
    <row r="501" spans="1:83" ht="61.5" x14ac:dyDescent="0.85">
      <c r="A501" s="20">
        <v>1</v>
      </c>
      <c r="B501" s="66">
        <f>SUBTOTAL(103,$A$22:A501)</f>
        <v>427</v>
      </c>
      <c r="C501" s="24" t="s">
        <v>1291</v>
      </c>
      <c r="D501" s="31">
        <f>E501+F501+G501+H501+I501+J501+L501+N501+P501+R501+T501+U501+V501+W501+X501+Y501+Z501+AA501+AB501+AC501+AD501+AE501</f>
        <v>1001541.0499999999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3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438.75</v>
      </c>
      <c r="R501" s="31">
        <v>986739.95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f>ROUND(R501*1.5%,2)</f>
        <v>14801.1</v>
      </c>
      <c r="AD501" s="31">
        <v>0</v>
      </c>
      <c r="AE501" s="31">
        <v>0</v>
      </c>
      <c r="AF501" s="34" t="s">
        <v>274</v>
      </c>
      <c r="AG501" s="34">
        <v>2020</v>
      </c>
      <c r="AH501" s="35">
        <v>2020</v>
      </c>
      <c r="BZ501" s="71"/>
      <c r="CD501" s="20" t="e">
        <f t="shared" si="92"/>
        <v>#N/A</v>
      </c>
    </row>
    <row r="502" spans="1:83" ht="61.5" x14ac:dyDescent="0.85">
      <c r="A502" s="20">
        <v>1</v>
      </c>
      <c r="B502" s="66">
        <f>SUBTOTAL(103,$A$22:A502)</f>
        <v>428</v>
      </c>
      <c r="C502" s="24" t="s">
        <v>1292</v>
      </c>
      <c r="D502" s="31">
        <f>E502+F502+G502+H502+I502+J502+L502+N502+P502+R502+T502+U502+V502+W502+X502+Y502+Z502+AA502+AB502+AC502+AD502+AE502</f>
        <v>2129113.37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3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729.1</v>
      </c>
      <c r="R502" s="31">
        <f>1721236.56+ROUND(1721236.56*0.15,2)</f>
        <v>1979422.04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f>ROUND(R502*1.5%,2)</f>
        <v>29691.33</v>
      </c>
      <c r="AD502" s="31">
        <v>0</v>
      </c>
      <c r="AE502" s="31">
        <v>120000</v>
      </c>
      <c r="AF502" s="34" t="s">
        <v>274</v>
      </c>
      <c r="AG502" s="34">
        <v>2020</v>
      </c>
      <c r="AH502" s="35">
        <v>2020</v>
      </c>
      <c r="BZ502" s="71"/>
      <c r="CD502" s="20" t="e">
        <f t="shared" si="92"/>
        <v>#N/A</v>
      </c>
    </row>
    <row r="503" spans="1:83" ht="61.5" x14ac:dyDescent="0.85">
      <c r="A503" s="20">
        <v>1</v>
      </c>
      <c r="B503" s="66">
        <f>SUBTOTAL(103,$A$22:A503)</f>
        <v>429</v>
      </c>
      <c r="C503" s="24" t="s">
        <v>1293</v>
      </c>
      <c r="D503" s="31">
        <f>E503+F503+G503+H503+I503+J503+L503+N503+P503+R503+T503+U503+V503+W503+X503+Y503+Z503+AA503+AB503+AC503+AD503+AE503</f>
        <v>3460575.3099999996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3">
        <v>0</v>
      </c>
      <c r="L503" s="31">
        <v>0</v>
      </c>
      <c r="M503" s="31">
        <v>924.2</v>
      </c>
      <c r="N503" s="31">
        <v>3409433.8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f>ROUND(N503*1.5%,2)</f>
        <v>51141.51</v>
      </c>
      <c r="AD503" s="31">
        <v>0</v>
      </c>
      <c r="AE503" s="31">
        <v>0</v>
      </c>
      <c r="AF503" s="34" t="s">
        <v>274</v>
      </c>
      <c r="AG503" s="34">
        <v>2020</v>
      </c>
      <c r="AH503" s="35">
        <v>2020</v>
      </c>
      <c r="BZ503" s="71"/>
      <c r="CD503" s="20">
        <f t="shared" si="92"/>
        <v>949</v>
      </c>
    </row>
    <row r="504" spans="1:83" ht="61.5" x14ac:dyDescent="0.85">
      <c r="B504" s="24" t="s">
        <v>906</v>
      </c>
      <c r="C504" s="24"/>
      <c r="D504" s="31">
        <f t="shared" ref="D504:AE504" si="101">D505</f>
        <v>2887801.05</v>
      </c>
      <c r="E504" s="31">
        <f t="shared" si="101"/>
        <v>0</v>
      </c>
      <c r="F504" s="31">
        <f t="shared" si="101"/>
        <v>0</v>
      </c>
      <c r="G504" s="31">
        <f t="shared" si="101"/>
        <v>0</v>
      </c>
      <c r="H504" s="31">
        <f t="shared" si="101"/>
        <v>0</v>
      </c>
      <c r="I504" s="31">
        <f t="shared" si="101"/>
        <v>0</v>
      </c>
      <c r="J504" s="31">
        <f t="shared" si="101"/>
        <v>0</v>
      </c>
      <c r="K504" s="33">
        <f t="shared" si="101"/>
        <v>0</v>
      </c>
      <c r="L504" s="31">
        <f t="shared" si="101"/>
        <v>0</v>
      </c>
      <c r="M504" s="31">
        <f t="shared" si="101"/>
        <v>613.20000000000005</v>
      </c>
      <c r="N504" s="31">
        <f t="shared" si="101"/>
        <v>2768847</v>
      </c>
      <c r="O504" s="31">
        <f t="shared" si="101"/>
        <v>0</v>
      </c>
      <c r="P504" s="31">
        <f t="shared" si="101"/>
        <v>0</v>
      </c>
      <c r="Q504" s="31">
        <f t="shared" si="101"/>
        <v>0</v>
      </c>
      <c r="R504" s="31">
        <f t="shared" si="101"/>
        <v>0</v>
      </c>
      <c r="S504" s="31">
        <f t="shared" si="101"/>
        <v>0</v>
      </c>
      <c r="T504" s="31">
        <f t="shared" si="101"/>
        <v>0</v>
      </c>
      <c r="U504" s="31">
        <f t="shared" si="101"/>
        <v>0</v>
      </c>
      <c r="V504" s="31">
        <f t="shared" si="101"/>
        <v>0</v>
      </c>
      <c r="W504" s="31">
        <f t="shared" si="101"/>
        <v>0</v>
      </c>
      <c r="X504" s="31">
        <f t="shared" si="101"/>
        <v>0</v>
      </c>
      <c r="Y504" s="31">
        <f t="shared" si="101"/>
        <v>0</v>
      </c>
      <c r="Z504" s="31">
        <f t="shared" si="101"/>
        <v>0</v>
      </c>
      <c r="AA504" s="31">
        <f t="shared" si="101"/>
        <v>0</v>
      </c>
      <c r="AB504" s="31">
        <f t="shared" si="101"/>
        <v>0</v>
      </c>
      <c r="AC504" s="31">
        <f t="shared" si="101"/>
        <v>41532.71</v>
      </c>
      <c r="AD504" s="31">
        <f t="shared" si="101"/>
        <v>77421.34</v>
      </c>
      <c r="AE504" s="31">
        <f t="shared" si="101"/>
        <v>0</v>
      </c>
      <c r="AF504" s="72" t="s">
        <v>776</v>
      </c>
      <c r="AG504" s="72" t="s">
        <v>776</v>
      </c>
      <c r="AH504" s="88" t="s">
        <v>776</v>
      </c>
      <c r="AT504" s="20" t="e">
        <f t="shared" ref="AT504:AT509" si="102">VLOOKUP(C504,AW:AX,2,FALSE)</f>
        <v>#N/A</v>
      </c>
      <c r="BZ504" s="71">
        <v>3314283.2199999997</v>
      </c>
      <c r="CB504" s="71">
        <f>BZ504-D504</f>
        <v>426482.16999999993</v>
      </c>
      <c r="CD504" s="20" t="e">
        <f t="shared" si="92"/>
        <v>#N/A</v>
      </c>
    </row>
    <row r="505" spans="1:83" ht="61.5" x14ac:dyDescent="0.85">
      <c r="A505" s="20">
        <v>1</v>
      </c>
      <c r="B505" s="66">
        <f>SUBTOTAL(103,$A$22:A505)</f>
        <v>430</v>
      </c>
      <c r="C505" s="24" t="s">
        <v>92</v>
      </c>
      <c r="D505" s="31">
        <f>E505+F505+G505+H505+I505+J505+L505+N505+P505+R505+T505+U505+V505+W505+X505+Y505+Z505+AA505+AB505+AC505+AD505+AE505</f>
        <v>2887801.05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3">
        <v>0</v>
      </c>
      <c r="L505" s="31">
        <v>0</v>
      </c>
      <c r="M505" s="31">
        <v>613.20000000000005</v>
      </c>
      <c r="N505" s="31">
        <v>2768847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f>ROUND(N505*1.5%,2)</f>
        <v>41532.71</v>
      </c>
      <c r="AD505" s="31">
        <v>77421.34</v>
      </c>
      <c r="AE505" s="31">
        <v>0</v>
      </c>
      <c r="AF505" s="34">
        <v>2020</v>
      </c>
      <c r="AG505" s="34">
        <v>2020</v>
      </c>
      <c r="AH505" s="35">
        <v>2020</v>
      </c>
      <c r="AT505" s="20" t="e">
        <f t="shared" si="102"/>
        <v>#N/A</v>
      </c>
      <c r="BZ505" s="71"/>
      <c r="CD505" s="20">
        <f t="shared" si="92"/>
        <v>613.20000000000005</v>
      </c>
    </row>
    <row r="506" spans="1:83" ht="61.5" x14ac:dyDescent="0.85">
      <c r="B506" s="24" t="s">
        <v>880</v>
      </c>
      <c r="C506" s="24"/>
      <c r="D506" s="31">
        <f t="shared" ref="D506:AE506" si="103">D507</f>
        <v>2743113.54</v>
      </c>
      <c r="E506" s="31">
        <f t="shared" si="103"/>
        <v>0</v>
      </c>
      <c r="F506" s="31">
        <f t="shared" si="103"/>
        <v>0</v>
      </c>
      <c r="G506" s="31">
        <f t="shared" si="103"/>
        <v>0</v>
      </c>
      <c r="H506" s="31">
        <f t="shared" si="103"/>
        <v>0</v>
      </c>
      <c r="I506" s="31">
        <f t="shared" si="103"/>
        <v>0</v>
      </c>
      <c r="J506" s="31">
        <f t="shared" si="103"/>
        <v>0</v>
      </c>
      <c r="K506" s="33">
        <f t="shared" si="103"/>
        <v>0</v>
      </c>
      <c r="L506" s="31">
        <f t="shared" si="103"/>
        <v>0</v>
      </c>
      <c r="M506" s="31">
        <f t="shared" si="103"/>
        <v>609.28</v>
      </c>
      <c r="N506" s="31">
        <f t="shared" si="103"/>
        <v>2626425</v>
      </c>
      <c r="O506" s="31">
        <f t="shared" si="103"/>
        <v>0</v>
      </c>
      <c r="P506" s="31">
        <f t="shared" si="103"/>
        <v>0</v>
      </c>
      <c r="Q506" s="31">
        <f t="shared" si="103"/>
        <v>0</v>
      </c>
      <c r="R506" s="31">
        <f t="shared" si="103"/>
        <v>0</v>
      </c>
      <c r="S506" s="31">
        <f t="shared" si="103"/>
        <v>0</v>
      </c>
      <c r="T506" s="31">
        <f t="shared" si="103"/>
        <v>0</v>
      </c>
      <c r="U506" s="31">
        <f t="shared" si="103"/>
        <v>0</v>
      </c>
      <c r="V506" s="31">
        <f t="shared" si="103"/>
        <v>0</v>
      </c>
      <c r="W506" s="31">
        <f t="shared" si="103"/>
        <v>0</v>
      </c>
      <c r="X506" s="31">
        <f t="shared" si="103"/>
        <v>0</v>
      </c>
      <c r="Y506" s="31">
        <f t="shared" si="103"/>
        <v>0</v>
      </c>
      <c r="Z506" s="31">
        <f t="shared" si="103"/>
        <v>0</v>
      </c>
      <c r="AA506" s="31">
        <f t="shared" si="103"/>
        <v>0</v>
      </c>
      <c r="AB506" s="31">
        <f t="shared" si="103"/>
        <v>0</v>
      </c>
      <c r="AC506" s="31">
        <f t="shared" si="103"/>
        <v>39396.379999999997</v>
      </c>
      <c r="AD506" s="31">
        <f t="shared" si="103"/>
        <v>77292.160000000003</v>
      </c>
      <c r="AE506" s="31">
        <f t="shared" si="103"/>
        <v>0</v>
      </c>
      <c r="AF506" s="72" t="s">
        <v>776</v>
      </c>
      <c r="AG506" s="72" t="s">
        <v>776</v>
      </c>
      <c r="AH506" s="88" t="s">
        <v>776</v>
      </c>
      <c r="AT506" s="20" t="e">
        <f t="shared" si="102"/>
        <v>#N/A</v>
      </c>
      <c r="BZ506" s="71">
        <v>3133080</v>
      </c>
      <c r="CB506" s="71">
        <f>BZ506-D506</f>
        <v>389966.45999999996</v>
      </c>
      <c r="CD506" s="20" t="e">
        <f t="shared" si="92"/>
        <v>#N/A</v>
      </c>
    </row>
    <row r="507" spans="1:83" ht="61.5" x14ac:dyDescent="0.85">
      <c r="A507" s="20">
        <v>1</v>
      </c>
      <c r="B507" s="66">
        <f>SUBTOTAL(103,$A$22:A507)</f>
        <v>431</v>
      </c>
      <c r="C507" s="24" t="s">
        <v>93</v>
      </c>
      <c r="D507" s="31">
        <f>E507+F507+G507+H507+I507+J507+L507+N507+P507+R507+T507+U507+V507+W507+X507+Y507+Z507+AA507+AB507+AC507+AD507+AE507</f>
        <v>2743113.54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3">
        <v>0</v>
      </c>
      <c r="L507" s="31">
        <v>0</v>
      </c>
      <c r="M507" s="31">
        <v>609.28</v>
      </c>
      <c r="N507" s="31">
        <v>2626425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f>ROUND(N507*1.5%,2)</f>
        <v>39396.379999999997</v>
      </c>
      <c r="AD507" s="31">
        <v>77292.160000000003</v>
      </c>
      <c r="AE507" s="31">
        <v>0</v>
      </c>
      <c r="AF507" s="34">
        <v>2020</v>
      </c>
      <c r="AG507" s="34">
        <v>2020</v>
      </c>
      <c r="AH507" s="35">
        <v>2020</v>
      </c>
      <c r="AT507" s="20" t="e">
        <f t="shared" si="102"/>
        <v>#N/A</v>
      </c>
      <c r="BZ507" s="71"/>
      <c r="CD507" s="20" t="e">
        <f t="shared" si="92"/>
        <v>#N/A</v>
      </c>
    </row>
    <row r="508" spans="1:83" ht="61.5" x14ac:dyDescent="0.85">
      <c r="B508" s="24" t="s">
        <v>881</v>
      </c>
      <c r="C508" s="24"/>
      <c r="D508" s="31">
        <f>D509+D510</f>
        <v>5746431.5800000001</v>
      </c>
      <c r="E508" s="31">
        <f t="shared" ref="E508:AE508" si="104">E509+E510</f>
        <v>0</v>
      </c>
      <c r="F508" s="31">
        <f t="shared" si="104"/>
        <v>0</v>
      </c>
      <c r="G508" s="31">
        <f t="shared" si="104"/>
        <v>0</v>
      </c>
      <c r="H508" s="31">
        <f t="shared" si="104"/>
        <v>818295.28</v>
      </c>
      <c r="I508" s="31">
        <f t="shared" si="104"/>
        <v>0</v>
      </c>
      <c r="J508" s="31">
        <f t="shared" si="104"/>
        <v>0</v>
      </c>
      <c r="K508" s="33">
        <f t="shared" si="104"/>
        <v>0</v>
      </c>
      <c r="L508" s="31">
        <f t="shared" si="104"/>
        <v>0</v>
      </c>
      <c r="M508" s="31">
        <f t="shared" si="104"/>
        <v>1143</v>
      </c>
      <c r="N508" s="31">
        <f t="shared" si="104"/>
        <v>4643006</v>
      </c>
      <c r="O508" s="31">
        <f t="shared" si="104"/>
        <v>0</v>
      </c>
      <c r="P508" s="31">
        <f t="shared" si="104"/>
        <v>0</v>
      </c>
      <c r="Q508" s="31">
        <f t="shared" si="104"/>
        <v>0</v>
      </c>
      <c r="R508" s="31">
        <f t="shared" si="104"/>
        <v>0</v>
      </c>
      <c r="S508" s="31">
        <f t="shared" si="104"/>
        <v>0</v>
      </c>
      <c r="T508" s="31">
        <f t="shared" si="104"/>
        <v>0</v>
      </c>
      <c r="U508" s="31">
        <f t="shared" si="104"/>
        <v>0</v>
      </c>
      <c r="V508" s="31">
        <f t="shared" si="104"/>
        <v>0</v>
      </c>
      <c r="W508" s="31">
        <f t="shared" si="104"/>
        <v>0</v>
      </c>
      <c r="X508" s="31">
        <f t="shared" si="104"/>
        <v>0</v>
      </c>
      <c r="Y508" s="31">
        <f t="shared" si="104"/>
        <v>0</v>
      </c>
      <c r="Z508" s="31">
        <f t="shared" si="104"/>
        <v>0</v>
      </c>
      <c r="AA508" s="31">
        <f t="shared" si="104"/>
        <v>0</v>
      </c>
      <c r="AB508" s="31">
        <f t="shared" si="104"/>
        <v>0</v>
      </c>
      <c r="AC508" s="31">
        <f t="shared" si="104"/>
        <v>81919.51999999999</v>
      </c>
      <c r="AD508" s="31">
        <f t="shared" si="104"/>
        <v>203210.78</v>
      </c>
      <c r="AE508" s="31">
        <f t="shared" si="104"/>
        <v>0</v>
      </c>
      <c r="AF508" s="72" t="s">
        <v>776</v>
      </c>
      <c r="AG508" s="72" t="s">
        <v>776</v>
      </c>
      <c r="AH508" s="88" t="s">
        <v>776</v>
      </c>
      <c r="AT508" s="20" t="e">
        <f t="shared" si="102"/>
        <v>#N/A</v>
      </c>
      <c r="BZ508" s="71">
        <v>5968517.3999999994</v>
      </c>
      <c r="CB508" s="71">
        <f>BZ508-D508</f>
        <v>222085.81999999937</v>
      </c>
      <c r="CD508" s="20" t="e">
        <f t="shared" si="92"/>
        <v>#N/A</v>
      </c>
    </row>
    <row r="509" spans="1:83" ht="61.5" x14ac:dyDescent="0.85">
      <c r="A509" s="20">
        <v>1</v>
      </c>
      <c r="B509" s="66">
        <f>SUBTOTAL(103,$A$22:A509)</f>
        <v>432</v>
      </c>
      <c r="C509" s="24" t="s">
        <v>94</v>
      </c>
      <c r="D509" s="31">
        <f>E509+F509+G509+H509+I509+J509+L509+N509+P509+R509+T509+U509+V509+W509+X509+Y509+Z509+AA509+AB509+AC509+AD509+AE509</f>
        <v>4871101.63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3">
        <v>0</v>
      </c>
      <c r="L509" s="31">
        <v>0</v>
      </c>
      <c r="M509" s="31">
        <v>1143</v>
      </c>
      <c r="N509" s="31">
        <v>4643006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f>ROUND(N509*1.5%,2)</f>
        <v>69645.09</v>
      </c>
      <c r="AD509" s="31">
        <v>158450.54</v>
      </c>
      <c r="AE509" s="31">
        <v>0</v>
      </c>
      <c r="AF509" s="34">
        <v>2020</v>
      </c>
      <c r="AG509" s="34">
        <v>2020</v>
      </c>
      <c r="AH509" s="35">
        <v>2020</v>
      </c>
      <c r="AT509" s="20" t="e">
        <f t="shared" si="102"/>
        <v>#N/A</v>
      </c>
      <c r="BZ509" s="71"/>
      <c r="CD509" s="20" t="e">
        <f t="shared" si="92"/>
        <v>#N/A</v>
      </c>
    </row>
    <row r="510" spans="1:83" ht="61.5" x14ac:dyDescent="0.85">
      <c r="A510" s="20">
        <v>1</v>
      </c>
      <c r="B510" s="66">
        <f>SUBTOTAL(103,$A$22:A510)</f>
        <v>433</v>
      </c>
      <c r="C510" s="24" t="s">
        <v>1656</v>
      </c>
      <c r="D510" s="31">
        <f>E510+F510+G510+H510+I510+J510+L510+N510+P510+R510+T510+U510+V510+W510+X510+Y510+Z510+AA510+AB510+AC510+AD510+AE510</f>
        <v>875329.95000000007</v>
      </c>
      <c r="E510" s="31">
        <v>0</v>
      </c>
      <c r="F510" s="31">
        <v>0</v>
      </c>
      <c r="G510" s="31">
        <v>0</v>
      </c>
      <c r="H510" s="31">
        <v>818295.28</v>
      </c>
      <c r="I510" s="31">
        <v>0</v>
      </c>
      <c r="J510" s="31">
        <v>0</v>
      </c>
      <c r="K510" s="33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f>ROUND(H510*1.5%,2)</f>
        <v>12274.43</v>
      </c>
      <c r="AD510" s="31">
        <v>44760.24</v>
      </c>
      <c r="AE510" s="31">
        <v>0</v>
      </c>
      <c r="AF510" s="34">
        <v>2020</v>
      </c>
      <c r="AG510" s="34">
        <v>2020</v>
      </c>
      <c r="AH510" s="35">
        <v>2020</v>
      </c>
      <c r="BZ510" s="71"/>
      <c r="CD510" s="20" t="e">
        <f t="shared" si="92"/>
        <v>#N/A</v>
      </c>
    </row>
    <row r="511" spans="1:83" ht="61.5" x14ac:dyDescent="0.85">
      <c r="B511" s="24" t="s">
        <v>882</v>
      </c>
      <c r="C511" s="24"/>
      <c r="D511" s="31">
        <f t="shared" ref="D511:AE511" si="105">D512</f>
        <v>2598169.9500000002</v>
      </c>
      <c r="E511" s="31">
        <f t="shared" si="105"/>
        <v>0</v>
      </c>
      <c r="F511" s="31">
        <f t="shared" si="105"/>
        <v>0</v>
      </c>
      <c r="G511" s="31">
        <f t="shared" si="105"/>
        <v>0</v>
      </c>
      <c r="H511" s="31">
        <f t="shared" si="105"/>
        <v>0</v>
      </c>
      <c r="I511" s="31">
        <f t="shared" si="105"/>
        <v>0</v>
      </c>
      <c r="J511" s="31">
        <f t="shared" si="105"/>
        <v>0</v>
      </c>
      <c r="K511" s="33">
        <f t="shared" si="105"/>
        <v>0</v>
      </c>
      <c r="L511" s="31">
        <f t="shared" si="105"/>
        <v>0</v>
      </c>
      <c r="M511" s="31">
        <f t="shared" si="105"/>
        <v>694.7</v>
      </c>
      <c r="N511" s="31">
        <f t="shared" si="105"/>
        <v>2481018</v>
      </c>
      <c r="O511" s="31">
        <f t="shared" si="105"/>
        <v>0</v>
      </c>
      <c r="P511" s="31">
        <f t="shared" si="105"/>
        <v>0</v>
      </c>
      <c r="Q511" s="31">
        <f t="shared" si="105"/>
        <v>0</v>
      </c>
      <c r="R511" s="31">
        <f t="shared" si="105"/>
        <v>0</v>
      </c>
      <c r="S511" s="31">
        <f t="shared" si="105"/>
        <v>0</v>
      </c>
      <c r="T511" s="31">
        <f t="shared" si="105"/>
        <v>0</v>
      </c>
      <c r="U511" s="31">
        <f t="shared" si="105"/>
        <v>0</v>
      </c>
      <c r="V511" s="31">
        <f t="shared" si="105"/>
        <v>0</v>
      </c>
      <c r="W511" s="31">
        <f t="shared" si="105"/>
        <v>0</v>
      </c>
      <c r="X511" s="31">
        <f t="shared" si="105"/>
        <v>0</v>
      </c>
      <c r="Y511" s="31">
        <f t="shared" si="105"/>
        <v>0</v>
      </c>
      <c r="Z511" s="31">
        <f t="shared" si="105"/>
        <v>0</v>
      </c>
      <c r="AA511" s="31">
        <f t="shared" si="105"/>
        <v>0</v>
      </c>
      <c r="AB511" s="31">
        <f t="shared" si="105"/>
        <v>0</v>
      </c>
      <c r="AC511" s="31">
        <f t="shared" si="105"/>
        <v>37215.269999999997</v>
      </c>
      <c r="AD511" s="31">
        <f t="shared" si="105"/>
        <v>79936.679999999993</v>
      </c>
      <c r="AE511" s="31">
        <f t="shared" si="105"/>
        <v>0</v>
      </c>
      <c r="AF511" s="72" t="s">
        <v>776</v>
      </c>
      <c r="AG511" s="72" t="s">
        <v>776</v>
      </c>
      <c r="AH511" s="88" t="s">
        <v>776</v>
      </c>
      <c r="AT511" s="20" t="e">
        <f>VLOOKUP(C511,AW:AX,2,FALSE)</f>
        <v>#N/A</v>
      </c>
      <c r="BZ511" s="71">
        <v>3253210.4899999998</v>
      </c>
      <c r="CB511" s="71">
        <f>BZ511-D511</f>
        <v>655040.53999999957</v>
      </c>
      <c r="CD511" s="20" t="e">
        <f t="shared" si="92"/>
        <v>#N/A</v>
      </c>
    </row>
    <row r="512" spans="1:83" ht="61.5" x14ac:dyDescent="0.85">
      <c r="A512" s="20">
        <v>1</v>
      </c>
      <c r="B512" s="66">
        <f>SUBTOTAL(103,$A$22:A512)</f>
        <v>434</v>
      </c>
      <c r="C512" s="24" t="s">
        <v>95</v>
      </c>
      <c r="D512" s="31">
        <f>E512+F512+G512+H512+I512+J512+L512+N512+P512+R512+T512+U512+V512+W512+X512+Y512+Z512+AA512+AB512+AC512+AD512+AE512</f>
        <v>2598169.9500000002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3">
        <v>0</v>
      </c>
      <c r="L512" s="31">
        <v>0</v>
      </c>
      <c r="M512" s="31">
        <v>694.7</v>
      </c>
      <c r="N512" s="31">
        <v>2481018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f>ROUND(N512*1.5%,2)</f>
        <v>37215.269999999997</v>
      </c>
      <c r="AD512" s="31">
        <v>79936.679999999993</v>
      </c>
      <c r="AE512" s="31">
        <v>0</v>
      </c>
      <c r="AF512" s="34">
        <v>2020</v>
      </c>
      <c r="AG512" s="34">
        <v>2020</v>
      </c>
      <c r="AH512" s="35">
        <v>2020</v>
      </c>
      <c r="AT512" s="20" t="e">
        <f>VLOOKUP(C512,AW:AX,2,FALSE)</f>
        <v>#N/A</v>
      </c>
      <c r="BZ512" s="71"/>
      <c r="CD512" s="20" t="e">
        <f t="shared" si="92"/>
        <v>#N/A</v>
      </c>
    </row>
    <row r="513" spans="1:82" ht="61.5" x14ac:dyDescent="0.85">
      <c r="B513" s="24" t="s">
        <v>1294</v>
      </c>
      <c r="C513" s="24"/>
      <c r="D513" s="31">
        <f>D514</f>
        <v>2309984.35</v>
      </c>
      <c r="E513" s="31">
        <f t="shared" ref="E513:AE513" si="106">E514</f>
        <v>0</v>
      </c>
      <c r="F513" s="31">
        <f t="shared" si="106"/>
        <v>0</v>
      </c>
      <c r="G513" s="31">
        <f t="shared" si="106"/>
        <v>1528355.34</v>
      </c>
      <c r="H513" s="31">
        <f t="shared" si="106"/>
        <v>173337.94</v>
      </c>
      <c r="I513" s="31">
        <f t="shared" si="106"/>
        <v>574321.54</v>
      </c>
      <c r="J513" s="31">
        <f t="shared" si="106"/>
        <v>0</v>
      </c>
      <c r="K513" s="33">
        <f t="shared" si="106"/>
        <v>0</v>
      </c>
      <c r="L513" s="31">
        <f t="shared" si="106"/>
        <v>0</v>
      </c>
      <c r="M513" s="31">
        <f t="shared" si="106"/>
        <v>0</v>
      </c>
      <c r="N513" s="31">
        <f t="shared" si="106"/>
        <v>0</v>
      </c>
      <c r="O513" s="31">
        <f t="shared" si="106"/>
        <v>0</v>
      </c>
      <c r="P513" s="31">
        <f t="shared" si="106"/>
        <v>0</v>
      </c>
      <c r="Q513" s="31">
        <f t="shared" si="106"/>
        <v>0</v>
      </c>
      <c r="R513" s="31">
        <f t="shared" si="106"/>
        <v>0</v>
      </c>
      <c r="S513" s="31">
        <f t="shared" si="106"/>
        <v>0</v>
      </c>
      <c r="T513" s="31">
        <f t="shared" si="106"/>
        <v>0</v>
      </c>
      <c r="U513" s="31">
        <f t="shared" si="106"/>
        <v>0</v>
      </c>
      <c r="V513" s="31">
        <f t="shared" si="106"/>
        <v>0</v>
      </c>
      <c r="W513" s="31">
        <f t="shared" si="106"/>
        <v>0</v>
      </c>
      <c r="X513" s="31">
        <f t="shared" si="106"/>
        <v>0</v>
      </c>
      <c r="Y513" s="31">
        <f t="shared" si="106"/>
        <v>0</v>
      </c>
      <c r="Z513" s="31">
        <f t="shared" si="106"/>
        <v>0</v>
      </c>
      <c r="AA513" s="31">
        <f t="shared" si="106"/>
        <v>0</v>
      </c>
      <c r="AB513" s="31">
        <f t="shared" si="106"/>
        <v>0</v>
      </c>
      <c r="AC513" s="31">
        <f t="shared" si="106"/>
        <v>33969.53</v>
      </c>
      <c r="AD513" s="31">
        <f t="shared" si="106"/>
        <v>0</v>
      </c>
      <c r="AE513" s="31">
        <f t="shared" si="106"/>
        <v>0</v>
      </c>
      <c r="AF513" s="72" t="s">
        <v>776</v>
      </c>
      <c r="AG513" s="72" t="s">
        <v>776</v>
      </c>
      <c r="AH513" s="88" t="s">
        <v>776</v>
      </c>
      <c r="BZ513" s="71">
        <v>2309984.35</v>
      </c>
      <c r="CB513" s="71">
        <f>BZ513-D513</f>
        <v>0</v>
      </c>
      <c r="CD513" s="20" t="e">
        <f t="shared" si="92"/>
        <v>#N/A</v>
      </c>
    </row>
    <row r="514" spans="1:82" ht="61.5" x14ac:dyDescent="0.85">
      <c r="A514" s="20">
        <v>1</v>
      </c>
      <c r="B514" s="66">
        <f>SUBTOTAL(103,$A$22:A514)</f>
        <v>435</v>
      </c>
      <c r="C514" s="24" t="s">
        <v>1295</v>
      </c>
      <c r="D514" s="31">
        <f>E514+F514+G514+H514+I514+J514+L514+N514+P514+R514+T514+U514+V514+W514+X514+Y514+Z514+AA514+AB514+AC514+AD514+AE514</f>
        <v>2309984.35</v>
      </c>
      <c r="E514" s="31">
        <v>0</v>
      </c>
      <c r="F514" s="31">
        <v>0</v>
      </c>
      <c r="G514" s="31">
        <f>1435759.25+92596.09</f>
        <v>1528355.34</v>
      </c>
      <c r="H514" s="31">
        <v>173337.94</v>
      </c>
      <c r="I514" s="31">
        <v>574321.54</v>
      </c>
      <c r="J514" s="31">
        <v>0</v>
      </c>
      <c r="K514" s="33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f>ROUND((E514+F514+G514+H514+I514+J514)*1.4925%,2)+0.01</f>
        <v>33969.53</v>
      </c>
      <c r="AD514" s="31">
        <v>0</v>
      </c>
      <c r="AE514" s="31">
        <v>0</v>
      </c>
      <c r="AF514" s="34" t="s">
        <v>274</v>
      </c>
      <c r="AG514" s="34">
        <v>2020</v>
      </c>
      <c r="AH514" s="35">
        <v>2020</v>
      </c>
      <c r="BZ514" s="71"/>
      <c r="CD514" s="20" t="e">
        <f t="shared" si="92"/>
        <v>#N/A</v>
      </c>
    </row>
    <row r="515" spans="1:82" ht="61.5" x14ac:dyDescent="0.85">
      <c r="B515" s="24" t="s">
        <v>883</v>
      </c>
      <c r="C515" s="129"/>
      <c r="D515" s="31">
        <f>SUM(D516:D521)</f>
        <v>7966049.0899999989</v>
      </c>
      <c r="E515" s="31">
        <f t="shared" ref="E515:AE515" si="107">SUM(E516:E521)</f>
        <v>0</v>
      </c>
      <c r="F515" s="31">
        <f t="shared" si="107"/>
        <v>0</v>
      </c>
      <c r="G515" s="31">
        <f t="shared" si="107"/>
        <v>0</v>
      </c>
      <c r="H515" s="31">
        <f t="shared" si="107"/>
        <v>0</v>
      </c>
      <c r="I515" s="31">
        <f t="shared" si="107"/>
        <v>1430880.48</v>
      </c>
      <c r="J515" s="31">
        <f t="shared" si="107"/>
        <v>0</v>
      </c>
      <c r="K515" s="33">
        <f t="shared" si="107"/>
        <v>0</v>
      </c>
      <c r="L515" s="31">
        <f t="shared" si="107"/>
        <v>0</v>
      </c>
      <c r="M515" s="31">
        <f t="shared" si="107"/>
        <v>1397.6</v>
      </c>
      <c r="N515" s="31">
        <f t="shared" si="107"/>
        <v>5928853.8900000006</v>
      </c>
      <c r="O515" s="31">
        <f t="shared" si="107"/>
        <v>0</v>
      </c>
      <c r="P515" s="31">
        <f t="shared" si="107"/>
        <v>0</v>
      </c>
      <c r="Q515" s="31">
        <f t="shared" si="107"/>
        <v>0</v>
      </c>
      <c r="R515" s="31">
        <f t="shared" si="107"/>
        <v>0</v>
      </c>
      <c r="S515" s="31">
        <f t="shared" si="107"/>
        <v>0</v>
      </c>
      <c r="T515" s="31">
        <f t="shared" si="107"/>
        <v>0</v>
      </c>
      <c r="U515" s="31">
        <f t="shared" si="107"/>
        <v>0</v>
      </c>
      <c r="V515" s="31">
        <f t="shared" si="107"/>
        <v>0</v>
      </c>
      <c r="W515" s="31">
        <f t="shared" si="107"/>
        <v>0</v>
      </c>
      <c r="X515" s="31">
        <f t="shared" si="107"/>
        <v>0</v>
      </c>
      <c r="Y515" s="31">
        <f t="shared" si="107"/>
        <v>0</v>
      </c>
      <c r="Z515" s="31">
        <f t="shared" si="107"/>
        <v>0</v>
      </c>
      <c r="AA515" s="31">
        <f t="shared" si="107"/>
        <v>0</v>
      </c>
      <c r="AB515" s="31">
        <f t="shared" si="107"/>
        <v>0</v>
      </c>
      <c r="AC515" s="31">
        <f t="shared" si="107"/>
        <v>110396.01000000001</v>
      </c>
      <c r="AD515" s="31">
        <f t="shared" si="107"/>
        <v>135918.71</v>
      </c>
      <c r="AE515" s="31">
        <f t="shared" si="107"/>
        <v>360000</v>
      </c>
      <c r="AF515" s="72" t="s">
        <v>776</v>
      </c>
      <c r="AG515" s="72" t="s">
        <v>776</v>
      </c>
      <c r="AH515" s="88" t="s">
        <v>776</v>
      </c>
      <c r="AT515" s="20" t="e">
        <f>VLOOKUP(C515,AW:AX,2,FALSE)</f>
        <v>#N/A</v>
      </c>
      <c r="BZ515" s="71">
        <v>7354613.0300000003</v>
      </c>
      <c r="CB515" s="71">
        <f>BZ515-D515</f>
        <v>-611436.05999999866</v>
      </c>
      <c r="CD515" s="20" t="e">
        <f t="shared" si="92"/>
        <v>#N/A</v>
      </c>
    </row>
    <row r="516" spans="1:82" ht="61.5" x14ac:dyDescent="0.85">
      <c r="A516" s="20">
        <v>1</v>
      </c>
      <c r="B516" s="66">
        <f>SUBTOTAL(103,$A$22:A516)</f>
        <v>436</v>
      </c>
      <c r="C516" s="24" t="s">
        <v>189</v>
      </c>
      <c r="D516" s="31">
        <f t="shared" ref="D516:D521" si="108">E516+F516+G516+H516+I516+J516+L516+N516+P516+R516+T516+U516+V516+W516+X516+Y516+Z516+AA516+AB516+AC516+AD516+AE516</f>
        <v>1403216.62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3">
        <v>0</v>
      </c>
      <c r="L516" s="31">
        <v>0</v>
      </c>
      <c r="M516" s="31">
        <v>255.2</v>
      </c>
      <c r="N516" s="31">
        <v>1347091.54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f>ROUND(N516*1.5%,2)</f>
        <v>20206.37</v>
      </c>
      <c r="AD516" s="31">
        <v>35918.71</v>
      </c>
      <c r="AE516" s="31">
        <v>0</v>
      </c>
      <c r="AF516" s="34">
        <v>2020</v>
      </c>
      <c r="AG516" s="34">
        <v>2020</v>
      </c>
      <c r="AH516" s="35">
        <v>2020</v>
      </c>
      <c r="AT516" s="20" t="e">
        <f>VLOOKUP(C516,AW:AX,2,FALSE)</f>
        <v>#N/A</v>
      </c>
      <c r="BZ516" s="71"/>
      <c r="CD516" s="20">
        <f t="shared" si="92"/>
        <v>255.2</v>
      </c>
    </row>
    <row r="517" spans="1:82" ht="61.5" x14ac:dyDescent="0.85">
      <c r="A517" s="20">
        <v>1</v>
      </c>
      <c r="B517" s="66">
        <f>SUBTOTAL(103,$A$22:A517)</f>
        <v>437</v>
      </c>
      <c r="C517" s="24" t="s">
        <v>188</v>
      </c>
      <c r="D517" s="31">
        <f t="shared" si="108"/>
        <v>1494699.9999999998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3">
        <v>0</v>
      </c>
      <c r="L517" s="31">
        <v>0</v>
      </c>
      <c r="M517" s="31">
        <v>297</v>
      </c>
      <c r="N517" s="31">
        <f>1374088.67-118226.6</f>
        <v>1255862.0699999998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f>ROUND(N517*1.5%,2)</f>
        <v>18837.93</v>
      </c>
      <c r="AD517" s="31">
        <v>100000</v>
      </c>
      <c r="AE517" s="31">
        <v>120000</v>
      </c>
      <c r="AF517" s="34">
        <v>2020</v>
      </c>
      <c r="AG517" s="34">
        <v>2020</v>
      </c>
      <c r="AH517" s="35">
        <v>2020</v>
      </c>
      <c r="AT517" s="20" t="e">
        <f>VLOOKUP(C517,AW:AX,2,FALSE)</f>
        <v>#N/A</v>
      </c>
      <c r="BZ517" s="71"/>
      <c r="CD517" s="20" t="e">
        <f t="shared" si="92"/>
        <v>#N/A</v>
      </c>
    </row>
    <row r="518" spans="1:82" ht="61.5" x14ac:dyDescent="0.85">
      <c r="A518" s="20">
        <v>1</v>
      </c>
      <c r="B518" s="66">
        <f>SUBTOTAL(103,$A$22:A518)</f>
        <v>438</v>
      </c>
      <c r="C518" s="24" t="s">
        <v>1296</v>
      </c>
      <c r="D518" s="31">
        <f t="shared" si="108"/>
        <v>2173966.8199999998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3">
        <v>0</v>
      </c>
      <c r="L518" s="31">
        <v>0</v>
      </c>
      <c r="M518" s="31">
        <v>437.4</v>
      </c>
      <c r="N518" s="31">
        <v>2023612.63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f>ROUND(N518*1.5%,2)</f>
        <v>30354.19</v>
      </c>
      <c r="AD518" s="31">
        <v>0</v>
      </c>
      <c r="AE518" s="31">
        <v>120000</v>
      </c>
      <c r="AF518" s="34" t="s">
        <v>274</v>
      </c>
      <c r="AG518" s="34">
        <v>2020</v>
      </c>
      <c r="AH518" s="35">
        <v>2020</v>
      </c>
      <c r="BZ518" s="71"/>
      <c r="CD518" s="20">
        <f t="shared" si="92"/>
        <v>437.4</v>
      </c>
    </row>
    <row r="519" spans="1:82" ht="61.5" x14ac:dyDescent="0.85">
      <c r="A519" s="20">
        <v>1</v>
      </c>
      <c r="B519" s="66">
        <f>SUBTOTAL(103,$A$22:A519)</f>
        <v>439</v>
      </c>
      <c r="C519" s="24" t="s">
        <v>1297</v>
      </c>
      <c r="D519" s="31">
        <f t="shared" si="108"/>
        <v>1441821.96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3">
        <v>0</v>
      </c>
      <c r="L519" s="31">
        <v>0</v>
      </c>
      <c r="M519" s="31">
        <v>408</v>
      </c>
      <c r="N519" s="31">
        <v>1302287.6499999999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f>ROUND(N519*1.5%,2)</f>
        <v>19534.310000000001</v>
      </c>
      <c r="AD519" s="31">
        <v>0</v>
      </c>
      <c r="AE519" s="31">
        <v>120000</v>
      </c>
      <c r="AF519" s="34" t="s">
        <v>274</v>
      </c>
      <c r="AG519" s="34">
        <v>2020</v>
      </c>
      <c r="AH519" s="35">
        <v>2020</v>
      </c>
      <c r="BZ519" s="71"/>
      <c r="CD519" s="20">
        <f t="shared" si="92"/>
        <v>408</v>
      </c>
    </row>
    <row r="520" spans="1:82" ht="61.5" x14ac:dyDescent="0.85">
      <c r="A520" s="20">
        <v>1</v>
      </c>
      <c r="B520" s="66">
        <f>SUBTOTAL(103,$A$22:A520)</f>
        <v>440</v>
      </c>
      <c r="C520" s="24" t="s">
        <v>1298</v>
      </c>
      <c r="D520" s="31">
        <f t="shared" si="108"/>
        <v>725838.89999999991</v>
      </c>
      <c r="E520" s="31">
        <v>0</v>
      </c>
      <c r="F520" s="31">
        <v>0</v>
      </c>
      <c r="G520" s="31">
        <v>0</v>
      </c>
      <c r="H520" s="31">
        <v>0</v>
      </c>
      <c r="I520" s="31">
        <v>715112.21</v>
      </c>
      <c r="J520" s="31">
        <v>0</v>
      </c>
      <c r="K520" s="33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f>ROUND(I520*1.5%,2)+0.01</f>
        <v>10726.69</v>
      </c>
      <c r="AD520" s="31">
        <v>0</v>
      </c>
      <c r="AE520" s="31">
        <v>0</v>
      </c>
      <c r="AF520" s="34" t="s">
        <v>274</v>
      </c>
      <c r="AG520" s="34">
        <v>2020</v>
      </c>
      <c r="AH520" s="35">
        <v>2020</v>
      </c>
      <c r="BZ520" s="71"/>
      <c r="CD520" s="20" t="e">
        <f t="shared" si="92"/>
        <v>#N/A</v>
      </c>
    </row>
    <row r="521" spans="1:82" ht="61.5" x14ac:dyDescent="0.85">
      <c r="A521" s="20">
        <v>1</v>
      </c>
      <c r="B521" s="66">
        <f>SUBTOTAL(103,$A$22:A521)</f>
        <v>441</v>
      </c>
      <c r="C521" s="24" t="s">
        <v>1299</v>
      </c>
      <c r="D521" s="31">
        <f t="shared" si="108"/>
        <v>726504.79</v>
      </c>
      <c r="E521" s="31">
        <v>0</v>
      </c>
      <c r="F521" s="31">
        <v>0</v>
      </c>
      <c r="G521" s="31">
        <v>0</v>
      </c>
      <c r="H521" s="31">
        <v>0</v>
      </c>
      <c r="I521" s="31">
        <v>715768.27</v>
      </c>
      <c r="J521" s="31">
        <v>0</v>
      </c>
      <c r="K521" s="33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f>ROUND(I521*1.5%,2)</f>
        <v>10736.52</v>
      </c>
      <c r="AD521" s="31">
        <v>0</v>
      </c>
      <c r="AE521" s="31">
        <v>0</v>
      </c>
      <c r="AF521" s="34" t="s">
        <v>274</v>
      </c>
      <c r="AG521" s="34">
        <v>2020</v>
      </c>
      <c r="AH521" s="35">
        <v>2020</v>
      </c>
      <c r="BZ521" s="71"/>
      <c r="CD521" s="20" t="e">
        <f t="shared" si="92"/>
        <v>#N/A</v>
      </c>
    </row>
    <row r="522" spans="1:82" ht="61.5" x14ac:dyDescent="0.85">
      <c r="B522" s="24" t="s">
        <v>884</v>
      </c>
      <c r="C522" s="24"/>
      <c r="D522" s="31">
        <f t="shared" ref="D522:AE522" si="109">D523</f>
        <v>4880587.2799999993</v>
      </c>
      <c r="E522" s="31">
        <f t="shared" si="109"/>
        <v>0</v>
      </c>
      <c r="F522" s="31">
        <f t="shared" si="109"/>
        <v>0</v>
      </c>
      <c r="G522" s="31">
        <f t="shared" si="109"/>
        <v>0</v>
      </c>
      <c r="H522" s="31">
        <f t="shared" si="109"/>
        <v>0</v>
      </c>
      <c r="I522" s="31">
        <f t="shared" si="109"/>
        <v>0</v>
      </c>
      <c r="J522" s="31">
        <f t="shared" si="109"/>
        <v>0</v>
      </c>
      <c r="K522" s="33">
        <f t="shared" si="109"/>
        <v>0</v>
      </c>
      <c r="L522" s="31">
        <f t="shared" si="109"/>
        <v>0</v>
      </c>
      <c r="M522" s="31">
        <f t="shared" si="109"/>
        <v>1028.5999999999999</v>
      </c>
      <c r="N522" s="31">
        <f t="shared" si="109"/>
        <v>4703951.5599999996</v>
      </c>
      <c r="O522" s="31">
        <f t="shared" si="109"/>
        <v>0</v>
      </c>
      <c r="P522" s="31">
        <f t="shared" si="109"/>
        <v>0</v>
      </c>
      <c r="Q522" s="31">
        <f t="shared" si="109"/>
        <v>0</v>
      </c>
      <c r="R522" s="31">
        <f t="shared" si="109"/>
        <v>0</v>
      </c>
      <c r="S522" s="31">
        <f t="shared" si="109"/>
        <v>0</v>
      </c>
      <c r="T522" s="31">
        <f t="shared" si="109"/>
        <v>0</v>
      </c>
      <c r="U522" s="31">
        <f t="shared" si="109"/>
        <v>0</v>
      </c>
      <c r="V522" s="31">
        <f t="shared" si="109"/>
        <v>0</v>
      </c>
      <c r="W522" s="31">
        <f t="shared" si="109"/>
        <v>0</v>
      </c>
      <c r="X522" s="31">
        <f t="shared" si="109"/>
        <v>0</v>
      </c>
      <c r="Y522" s="31">
        <f t="shared" si="109"/>
        <v>0</v>
      </c>
      <c r="Z522" s="31">
        <f t="shared" si="109"/>
        <v>0</v>
      </c>
      <c r="AA522" s="31">
        <f t="shared" si="109"/>
        <v>0</v>
      </c>
      <c r="AB522" s="31">
        <f t="shared" si="109"/>
        <v>0</v>
      </c>
      <c r="AC522" s="31">
        <f t="shared" si="109"/>
        <v>70559.27</v>
      </c>
      <c r="AD522" s="31">
        <f t="shared" si="109"/>
        <v>106076.45</v>
      </c>
      <c r="AE522" s="31">
        <f t="shared" si="109"/>
        <v>0</v>
      </c>
      <c r="AF522" s="72" t="s">
        <v>776</v>
      </c>
      <c r="AG522" s="72" t="s">
        <v>776</v>
      </c>
      <c r="AH522" s="88" t="s">
        <v>776</v>
      </c>
      <c r="AT522" s="20" t="e">
        <f>VLOOKUP(C522,AW:AX,2,FALSE)</f>
        <v>#N/A</v>
      </c>
      <c r="BZ522" s="71">
        <v>5403513.4500000002</v>
      </c>
      <c r="CB522" s="71">
        <f>BZ522-D522</f>
        <v>522926.17000000086</v>
      </c>
      <c r="CD522" s="20" t="e">
        <f t="shared" si="92"/>
        <v>#N/A</v>
      </c>
    </row>
    <row r="523" spans="1:82" ht="61.5" x14ac:dyDescent="0.85">
      <c r="A523" s="20">
        <v>1</v>
      </c>
      <c r="B523" s="66">
        <f>SUBTOTAL(103,$A$22:A523)</f>
        <v>442</v>
      </c>
      <c r="C523" s="24" t="s">
        <v>192</v>
      </c>
      <c r="D523" s="31">
        <f>E523+F523+G523+H523+I523+J523+L523+N523+P523+R523+T523+U523+V523+W523+X523+Y523+Z523+AA523+AB523+AC523+AD523+AE523</f>
        <v>4880587.2799999993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3">
        <v>0</v>
      </c>
      <c r="L523" s="31">
        <v>0</v>
      </c>
      <c r="M523" s="31">
        <v>1028.5999999999999</v>
      </c>
      <c r="N523" s="31">
        <v>4703951.5599999996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f>ROUND(N523*1.5%,2)</f>
        <v>70559.27</v>
      </c>
      <c r="AD523" s="31">
        <v>106076.45</v>
      </c>
      <c r="AE523" s="31">
        <v>0</v>
      </c>
      <c r="AF523" s="34">
        <v>2020</v>
      </c>
      <c r="AG523" s="34">
        <v>2020</v>
      </c>
      <c r="AH523" s="35">
        <v>2020</v>
      </c>
      <c r="AT523" s="20" t="e">
        <f>VLOOKUP(C523,AW:AX,2,FALSE)</f>
        <v>#N/A</v>
      </c>
      <c r="BZ523" s="71"/>
      <c r="CD523" s="20">
        <f t="shared" si="92"/>
        <v>1028.5999999999999</v>
      </c>
    </row>
    <row r="524" spans="1:82" ht="61.5" x14ac:dyDescent="0.85">
      <c r="B524" s="24" t="s">
        <v>885</v>
      </c>
      <c r="C524" s="24"/>
      <c r="D524" s="31">
        <f>D525+D526</f>
        <v>8593030.2200000007</v>
      </c>
      <c r="E524" s="31">
        <f t="shared" ref="E524:AE524" si="110">E525+E526</f>
        <v>0</v>
      </c>
      <c r="F524" s="31">
        <f t="shared" si="110"/>
        <v>0</v>
      </c>
      <c r="G524" s="31">
        <f t="shared" si="110"/>
        <v>0</v>
      </c>
      <c r="H524" s="31">
        <f t="shared" si="110"/>
        <v>0</v>
      </c>
      <c r="I524" s="31">
        <f t="shared" si="110"/>
        <v>0</v>
      </c>
      <c r="J524" s="31">
        <f t="shared" si="110"/>
        <v>0</v>
      </c>
      <c r="K524" s="33">
        <f t="shared" si="110"/>
        <v>0</v>
      </c>
      <c r="L524" s="31">
        <f t="shared" si="110"/>
        <v>0</v>
      </c>
      <c r="M524" s="31">
        <f t="shared" si="110"/>
        <v>578.4</v>
      </c>
      <c r="N524" s="31">
        <f t="shared" si="110"/>
        <v>2764754.42</v>
      </c>
      <c r="O524" s="31">
        <f t="shared" si="110"/>
        <v>0</v>
      </c>
      <c r="P524" s="31">
        <f t="shared" si="110"/>
        <v>0</v>
      </c>
      <c r="Q524" s="31">
        <f t="shared" si="110"/>
        <v>2869</v>
      </c>
      <c r="R524" s="31">
        <f t="shared" si="110"/>
        <v>5701706.5100000007</v>
      </c>
      <c r="S524" s="31">
        <f t="shared" si="110"/>
        <v>0</v>
      </c>
      <c r="T524" s="31">
        <f t="shared" si="110"/>
        <v>0</v>
      </c>
      <c r="U524" s="31">
        <f t="shared" si="110"/>
        <v>0</v>
      </c>
      <c r="V524" s="31">
        <f t="shared" si="110"/>
        <v>0</v>
      </c>
      <c r="W524" s="31">
        <f t="shared" si="110"/>
        <v>0</v>
      </c>
      <c r="X524" s="31">
        <f t="shared" si="110"/>
        <v>0</v>
      </c>
      <c r="Y524" s="31">
        <f t="shared" si="110"/>
        <v>0</v>
      </c>
      <c r="Z524" s="31">
        <f t="shared" si="110"/>
        <v>0</v>
      </c>
      <c r="AA524" s="31">
        <f t="shared" si="110"/>
        <v>0</v>
      </c>
      <c r="AB524" s="31">
        <f t="shared" si="110"/>
        <v>0</v>
      </c>
      <c r="AC524" s="31">
        <f t="shared" si="110"/>
        <v>126569.29000000001</v>
      </c>
      <c r="AD524" s="31">
        <f t="shared" si="110"/>
        <v>0</v>
      </c>
      <c r="AE524" s="31">
        <f t="shared" si="110"/>
        <v>0</v>
      </c>
      <c r="AF524" s="72" t="s">
        <v>776</v>
      </c>
      <c r="AG524" s="72" t="s">
        <v>776</v>
      </c>
      <c r="AH524" s="88" t="s">
        <v>776</v>
      </c>
      <c r="AT524" s="20" t="e">
        <f>VLOOKUP(C524,AW:AX,2,FALSE)</f>
        <v>#N/A</v>
      </c>
      <c r="BZ524" s="71">
        <v>8957085.8399999999</v>
      </c>
      <c r="CB524" s="71">
        <f>BZ524-D524</f>
        <v>364055.61999999918</v>
      </c>
      <c r="CD524" s="20" t="e">
        <f t="shared" si="92"/>
        <v>#N/A</v>
      </c>
    </row>
    <row r="525" spans="1:82" ht="61.5" x14ac:dyDescent="0.85">
      <c r="A525" s="20">
        <v>1</v>
      </c>
      <c r="B525" s="66">
        <f>SUBTOTAL(103,$A$22:A525)</f>
        <v>443</v>
      </c>
      <c r="C525" s="24" t="s">
        <v>191</v>
      </c>
      <c r="D525" s="31">
        <f>E525+F525+G525+H525+I525+J525+L525+N525+P525+R525+T525+U525+V525+W525+X525+Y525+Z525+AA525+AB525+AC525+AD525+AE525</f>
        <v>2806225.7399999998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3">
        <v>0</v>
      </c>
      <c r="L525" s="31">
        <v>0</v>
      </c>
      <c r="M525" s="31">
        <v>578.4</v>
      </c>
      <c r="N525" s="31">
        <f>2975646.66+147783.25-ROUND(364055.62/101.5*100,2)</f>
        <v>2764754.42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f>ROUND(N525*1.5%,2)</f>
        <v>41471.32</v>
      </c>
      <c r="AD525" s="31">
        <v>0</v>
      </c>
      <c r="AE525" s="31">
        <v>0</v>
      </c>
      <c r="AF525" s="34" t="s">
        <v>274</v>
      </c>
      <c r="AG525" s="34">
        <v>2020</v>
      </c>
      <c r="AH525" s="35">
        <v>2020</v>
      </c>
      <c r="AT525" s="20" t="e">
        <f>VLOOKUP(C525,AW:AX,2,FALSE)</f>
        <v>#N/A</v>
      </c>
      <c r="BZ525" s="71"/>
      <c r="CD525" s="20">
        <f t="shared" si="92"/>
        <v>578.4</v>
      </c>
    </row>
    <row r="526" spans="1:82" ht="61.5" x14ac:dyDescent="0.85">
      <c r="A526" s="20">
        <v>1</v>
      </c>
      <c r="B526" s="66">
        <f>SUBTOTAL(103,$A$22:A526)</f>
        <v>444</v>
      </c>
      <c r="C526" s="24" t="s">
        <v>1591</v>
      </c>
      <c r="D526" s="31">
        <f>E526+F526+G526+H526+I526+J526+L526+N526+P526+R526+T526+U526+V526+W526+X526+Y526+Z526+AA526+AB526+AC526+AD526+AE526</f>
        <v>5786804.4800000004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3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2869</v>
      </c>
      <c r="R526" s="31">
        <f>5534366.03+167340.48</f>
        <v>5701706.5100000007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f>ROUND(R526*1.4925%,2)</f>
        <v>85097.97</v>
      </c>
      <c r="AD526" s="31">
        <v>0</v>
      </c>
      <c r="AE526" s="31">
        <v>0</v>
      </c>
      <c r="AF526" s="34" t="s">
        <v>274</v>
      </c>
      <c r="AG526" s="34">
        <v>2020</v>
      </c>
      <c r="AH526" s="35">
        <v>2020</v>
      </c>
      <c r="BZ526" s="71"/>
      <c r="CD526" s="20" t="e">
        <f t="shared" si="92"/>
        <v>#N/A</v>
      </c>
    </row>
    <row r="527" spans="1:82" ht="61.5" x14ac:dyDescent="0.85">
      <c r="B527" s="24" t="s">
        <v>886</v>
      </c>
      <c r="C527" s="24"/>
      <c r="D527" s="31">
        <f t="shared" ref="D527:AE527" si="111">D528</f>
        <v>2644709.0300000003</v>
      </c>
      <c r="E527" s="31">
        <f t="shared" si="111"/>
        <v>0</v>
      </c>
      <c r="F527" s="31">
        <f t="shared" si="111"/>
        <v>0</v>
      </c>
      <c r="G527" s="31">
        <f t="shared" si="111"/>
        <v>0</v>
      </c>
      <c r="H527" s="31">
        <f t="shared" si="111"/>
        <v>0</v>
      </c>
      <c r="I527" s="31">
        <f t="shared" si="111"/>
        <v>0</v>
      </c>
      <c r="J527" s="31">
        <f t="shared" si="111"/>
        <v>0</v>
      </c>
      <c r="K527" s="33">
        <f t="shared" si="111"/>
        <v>0</v>
      </c>
      <c r="L527" s="31">
        <f t="shared" si="111"/>
        <v>0</v>
      </c>
      <c r="M527" s="31">
        <f t="shared" si="111"/>
        <v>378</v>
      </c>
      <c r="N527" s="31">
        <f t="shared" si="111"/>
        <v>2487398.06</v>
      </c>
      <c r="O527" s="31">
        <f t="shared" si="111"/>
        <v>0</v>
      </c>
      <c r="P527" s="31">
        <f t="shared" si="111"/>
        <v>0</v>
      </c>
      <c r="Q527" s="31">
        <f t="shared" si="111"/>
        <v>0</v>
      </c>
      <c r="R527" s="31">
        <f t="shared" si="111"/>
        <v>0</v>
      </c>
      <c r="S527" s="31">
        <f t="shared" si="111"/>
        <v>0</v>
      </c>
      <c r="T527" s="31">
        <f t="shared" si="111"/>
        <v>0</v>
      </c>
      <c r="U527" s="31">
        <f t="shared" si="111"/>
        <v>0</v>
      </c>
      <c r="V527" s="31">
        <f t="shared" si="111"/>
        <v>0</v>
      </c>
      <c r="W527" s="31">
        <f t="shared" si="111"/>
        <v>0</v>
      </c>
      <c r="X527" s="31">
        <f t="shared" si="111"/>
        <v>0</v>
      </c>
      <c r="Y527" s="31">
        <f t="shared" si="111"/>
        <v>0</v>
      </c>
      <c r="Z527" s="31">
        <f t="shared" si="111"/>
        <v>0</v>
      </c>
      <c r="AA527" s="31">
        <f t="shared" si="111"/>
        <v>0</v>
      </c>
      <c r="AB527" s="31">
        <f t="shared" si="111"/>
        <v>0</v>
      </c>
      <c r="AC527" s="31">
        <f t="shared" si="111"/>
        <v>37310.97</v>
      </c>
      <c r="AD527" s="31">
        <f t="shared" si="111"/>
        <v>120000</v>
      </c>
      <c r="AE527" s="31">
        <f t="shared" si="111"/>
        <v>0</v>
      </c>
      <c r="AF527" s="72" t="s">
        <v>776</v>
      </c>
      <c r="AG527" s="72" t="s">
        <v>776</v>
      </c>
      <c r="AH527" s="88" t="s">
        <v>776</v>
      </c>
      <c r="AT527" s="20" t="e">
        <f>VLOOKUP(C527,AW:AX,2,FALSE)</f>
        <v>#N/A</v>
      </c>
      <c r="BZ527" s="71">
        <v>2733218.92</v>
      </c>
      <c r="CB527" s="71">
        <f>BZ527-D527</f>
        <v>88509.889999999665</v>
      </c>
      <c r="CD527" s="20" t="e">
        <f t="shared" si="92"/>
        <v>#N/A</v>
      </c>
    </row>
    <row r="528" spans="1:82" ht="61.5" x14ac:dyDescent="0.85">
      <c r="A528" s="20">
        <v>1</v>
      </c>
      <c r="B528" s="66">
        <f>SUBTOTAL(103,$A$22:A528)</f>
        <v>445</v>
      </c>
      <c r="C528" s="24" t="s">
        <v>190</v>
      </c>
      <c r="D528" s="31">
        <f>E528+F528+G528+H528+I528+J528+L528+N528+P528+R528+T528+U528+V528+W528+X528+Y528+Z528+AA528+AB528+AC528+AD528+AE528</f>
        <v>2644709.0300000003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3">
        <v>0</v>
      </c>
      <c r="L528" s="31">
        <v>0</v>
      </c>
      <c r="M528" s="31">
        <v>378</v>
      </c>
      <c r="N528" s="31">
        <f>2087586.21+460440.39+26573.32-87201.86</f>
        <v>2487398.06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f>ROUND(N528*1.5%,2)</f>
        <v>37310.97</v>
      </c>
      <c r="AD528" s="31">
        <v>120000</v>
      </c>
      <c r="AE528" s="31">
        <v>0</v>
      </c>
      <c r="AF528" s="34">
        <v>2020</v>
      </c>
      <c r="AG528" s="34">
        <v>2020</v>
      </c>
      <c r="AH528" s="35">
        <v>2020</v>
      </c>
      <c r="AT528" s="20" t="e">
        <f>VLOOKUP(C528,AW:AX,2,FALSE)</f>
        <v>#N/A</v>
      </c>
      <c r="BZ528" s="71"/>
      <c r="CD528" s="20">
        <f t="shared" si="92"/>
        <v>378</v>
      </c>
    </row>
    <row r="529" spans="1:82" ht="61.5" x14ac:dyDescent="0.85">
      <c r="B529" s="24" t="s">
        <v>887</v>
      </c>
      <c r="C529" s="129"/>
      <c r="D529" s="31">
        <f>SUM(D530:D537)</f>
        <v>18642577.799999997</v>
      </c>
      <c r="E529" s="31">
        <f t="shared" ref="E529:AE529" si="112">SUM(E530:E537)</f>
        <v>0</v>
      </c>
      <c r="F529" s="31">
        <f t="shared" si="112"/>
        <v>0</v>
      </c>
      <c r="G529" s="31">
        <f t="shared" si="112"/>
        <v>12355559.530000001</v>
      </c>
      <c r="H529" s="31">
        <f t="shared" si="112"/>
        <v>0</v>
      </c>
      <c r="I529" s="31">
        <f t="shared" si="112"/>
        <v>0</v>
      </c>
      <c r="J529" s="31">
        <f t="shared" si="112"/>
        <v>0</v>
      </c>
      <c r="K529" s="33">
        <f t="shared" si="112"/>
        <v>0</v>
      </c>
      <c r="L529" s="31">
        <f t="shared" si="112"/>
        <v>0</v>
      </c>
      <c r="M529" s="31">
        <f t="shared" si="112"/>
        <v>1057.07</v>
      </c>
      <c r="N529" s="31">
        <f t="shared" si="112"/>
        <v>5666305.4199999999</v>
      </c>
      <c r="O529" s="31">
        <f t="shared" si="112"/>
        <v>0</v>
      </c>
      <c r="P529" s="31">
        <f t="shared" si="112"/>
        <v>0</v>
      </c>
      <c r="Q529" s="31">
        <f t="shared" si="112"/>
        <v>0</v>
      </c>
      <c r="R529" s="31">
        <f t="shared" si="112"/>
        <v>0</v>
      </c>
      <c r="S529" s="31">
        <f t="shared" si="112"/>
        <v>0</v>
      </c>
      <c r="T529" s="31">
        <f t="shared" si="112"/>
        <v>0</v>
      </c>
      <c r="U529" s="31">
        <f t="shared" si="112"/>
        <v>0</v>
      </c>
      <c r="V529" s="31">
        <f t="shared" si="112"/>
        <v>0</v>
      </c>
      <c r="W529" s="31">
        <f t="shared" si="112"/>
        <v>0</v>
      </c>
      <c r="X529" s="31">
        <f t="shared" si="112"/>
        <v>0</v>
      </c>
      <c r="Y529" s="31">
        <f t="shared" si="112"/>
        <v>0</v>
      </c>
      <c r="Z529" s="31">
        <f t="shared" si="112"/>
        <v>0</v>
      </c>
      <c r="AA529" s="31">
        <f t="shared" si="112"/>
        <v>0</v>
      </c>
      <c r="AB529" s="31">
        <f t="shared" si="112"/>
        <v>0</v>
      </c>
      <c r="AC529" s="31">
        <f t="shared" si="112"/>
        <v>270327.98</v>
      </c>
      <c r="AD529" s="31">
        <f t="shared" si="112"/>
        <v>350384.87</v>
      </c>
      <c r="AE529" s="31">
        <f t="shared" si="112"/>
        <v>0</v>
      </c>
      <c r="AF529" s="72" t="s">
        <v>776</v>
      </c>
      <c r="AG529" s="72" t="s">
        <v>776</v>
      </c>
      <c r="AH529" s="88" t="s">
        <v>776</v>
      </c>
      <c r="AT529" s="20" t="e">
        <f>VLOOKUP(C529,AW:AX,2,FALSE)</f>
        <v>#N/A</v>
      </c>
      <c r="BZ529" s="71">
        <v>18660147.93</v>
      </c>
      <c r="CB529" s="71">
        <f>BZ529-D529</f>
        <v>17570.130000002682</v>
      </c>
      <c r="CD529" s="20" t="e">
        <f t="shared" si="92"/>
        <v>#N/A</v>
      </c>
    </row>
    <row r="530" spans="1:82" ht="61.5" x14ac:dyDescent="0.85">
      <c r="A530" s="20">
        <v>1</v>
      </c>
      <c r="B530" s="66">
        <f>SUBTOTAL(103,$A$22:A530)</f>
        <v>446</v>
      </c>
      <c r="C530" s="24" t="s">
        <v>221</v>
      </c>
      <c r="D530" s="31">
        <f t="shared" ref="D530:D537" si="113">E530+F530+G530+H530+I530+J530+L530+N530+P530+R530+T530+U530+V530+W530+X530+Y530+Z530+AA530+AB530+AC530+AD530+AE530</f>
        <v>5882102.4900000002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3">
        <v>0</v>
      </c>
      <c r="L530" s="31">
        <v>0</v>
      </c>
      <c r="M530" s="31">
        <v>1057.07</v>
      </c>
      <c r="N530" s="31">
        <v>5666305.4199999999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f>ROUND(N530*1.5%,2)</f>
        <v>84994.58</v>
      </c>
      <c r="AD530" s="31">
        <v>130802.49</v>
      </c>
      <c r="AE530" s="31">
        <v>0</v>
      </c>
      <c r="AF530" s="34">
        <v>2020</v>
      </c>
      <c r="AG530" s="34">
        <v>2020</v>
      </c>
      <c r="AH530" s="35">
        <v>2020</v>
      </c>
      <c r="AT530" s="20" t="e">
        <f>VLOOKUP(C530,AW:AX,2,FALSE)</f>
        <v>#N/A</v>
      </c>
      <c r="BZ530" s="71"/>
      <c r="CD530" s="20">
        <f t="shared" si="92"/>
        <v>1057.07</v>
      </c>
    </row>
    <row r="531" spans="1:82" ht="61.5" x14ac:dyDescent="0.85">
      <c r="A531" s="20">
        <v>1</v>
      </c>
      <c r="B531" s="66">
        <f>SUBTOTAL(103,$A$22:A531)</f>
        <v>447</v>
      </c>
      <c r="C531" s="24" t="s">
        <v>222</v>
      </c>
      <c r="D531" s="31">
        <f t="shared" si="113"/>
        <v>722543.68</v>
      </c>
      <c r="E531" s="31">
        <v>0</v>
      </c>
      <c r="F531" s="31">
        <v>0</v>
      </c>
      <c r="G531" s="31">
        <f>378568.09+265628.28</f>
        <v>644196.37000000011</v>
      </c>
      <c r="H531" s="31">
        <v>0</v>
      </c>
      <c r="I531" s="31">
        <v>0</v>
      </c>
      <c r="J531" s="31">
        <v>0</v>
      </c>
      <c r="K531" s="33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f t="shared" ref="AC531:AC537" si="114">ROUND((E531+F531+G531+H531+I531+J531)*1.5%,2)</f>
        <v>9662.9500000000007</v>
      </c>
      <c r="AD531" s="31">
        <v>68684.36</v>
      </c>
      <c r="AE531" s="31">
        <v>0</v>
      </c>
      <c r="AF531" s="34">
        <v>2020</v>
      </c>
      <c r="AG531" s="34">
        <v>2020</v>
      </c>
      <c r="AH531" s="35">
        <v>2020</v>
      </c>
      <c r="AT531" s="20" t="e">
        <f>VLOOKUP(C531,AW:AX,2,FALSE)</f>
        <v>#N/A</v>
      </c>
      <c r="BZ531" s="71"/>
      <c r="CD531" s="20" t="e">
        <f t="shared" si="92"/>
        <v>#N/A</v>
      </c>
    </row>
    <row r="532" spans="1:82" ht="61.5" x14ac:dyDescent="0.85">
      <c r="A532" s="20">
        <v>1</v>
      </c>
      <c r="B532" s="66">
        <f>SUBTOTAL(103,$A$22:A532)</f>
        <v>448</v>
      </c>
      <c r="C532" s="24" t="s">
        <v>1300</v>
      </c>
      <c r="D532" s="31">
        <f t="shared" si="113"/>
        <v>3239861.98</v>
      </c>
      <c r="E532" s="31">
        <v>0</v>
      </c>
      <c r="F532" s="31">
        <v>0</v>
      </c>
      <c r="G532" s="31">
        <v>3191982.25</v>
      </c>
      <c r="H532" s="31">
        <v>0</v>
      </c>
      <c r="I532" s="31">
        <v>0</v>
      </c>
      <c r="J532" s="31">
        <v>0</v>
      </c>
      <c r="K532" s="33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f t="shared" si="114"/>
        <v>47879.73</v>
      </c>
      <c r="AD532" s="31">
        <v>0</v>
      </c>
      <c r="AE532" s="31">
        <v>0</v>
      </c>
      <c r="AF532" s="34" t="s">
        <v>274</v>
      </c>
      <c r="AG532" s="34">
        <v>2020</v>
      </c>
      <c r="AH532" s="35">
        <v>2020</v>
      </c>
      <c r="BZ532" s="71"/>
      <c r="CD532" s="20" t="e">
        <f t="shared" si="92"/>
        <v>#N/A</v>
      </c>
    </row>
    <row r="533" spans="1:82" ht="61.5" x14ac:dyDescent="0.85">
      <c r="A533" s="20">
        <v>1</v>
      </c>
      <c r="B533" s="66">
        <f>SUBTOTAL(103,$A$22:A533)</f>
        <v>449</v>
      </c>
      <c r="C533" s="24" t="s">
        <v>1301</v>
      </c>
      <c r="D533" s="31">
        <f t="shared" si="113"/>
        <v>2323778.17</v>
      </c>
      <c r="E533" s="31">
        <v>0</v>
      </c>
      <c r="F533" s="31">
        <v>0</v>
      </c>
      <c r="G533" s="31">
        <v>2289436.62</v>
      </c>
      <c r="H533" s="31">
        <v>0</v>
      </c>
      <c r="I533" s="31">
        <v>0</v>
      </c>
      <c r="J533" s="31">
        <v>0</v>
      </c>
      <c r="K533" s="33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f t="shared" si="114"/>
        <v>34341.550000000003</v>
      </c>
      <c r="AD533" s="31">
        <v>0</v>
      </c>
      <c r="AE533" s="31">
        <v>0</v>
      </c>
      <c r="AF533" s="34" t="s">
        <v>274</v>
      </c>
      <c r="AG533" s="34">
        <v>2020</v>
      </c>
      <c r="AH533" s="35">
        <v>2020</v>
      </c>
      <c r="BZ533" s="71"/>
      <c r="CD533" s="20" t="e">
        <f t="shared" si="92"/>
        <v>#N/A</v>
      </c>
    </row>
    <row r="534" spans="1:82" ht="61.5" x14ac:dyDescent="0.85">
      <c r="A534" s="20">
        <v>1</v>
      </c>
      <c r="B534" s="66">
        <f>SUBTOTAL(103,$A$22:A534)</f>
        <v>450</v>
      </c>
      <c r="C534" s="24" t="s">
        <v>1302</v>
      </c>
      <c r="D534" s="31">
        <f t="shared" si="113"/>
        <v>2168498.14</v>
      </c>
      <c r="E534" s="31">
        <v>0</v>
      </c>
      <c r="F534" s="31">
        <v>0</v>
      </c>
      <c r="G534" s="31">
        <v>2136451.37</v>
      </c>
      <c r="H534" s="31">
        <v>0</v>
      </c>
      <c r="I534" s="31">
        <v>0</v>
      </c>
      <c r="J534" s="31">
        <v>0</v>
      </c>
      <c r="K534" s="33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f t="shared" si="114"/>
        <v>32046.77</v>
      </c>
      <c r="AD534" s="31">
        <v>0</v>
      </c>
      <c r="AE534" s="31">
        <v>0</v>
      </c>
      <c r="AF534" s="34" t="s">
        <v>274</v>
      </c>
      <c r="AG534" s="34">
        <v>2020</v>
      </c>
      <c r="AH534" s="35">
        <v>2020</v>
      </c>
      <c r="BZ534" s="71"/>
      <c r="CD534" s="20" t="e">
        <f t="shared" ref="CD534:CD597" si="115">VLOOKUP(C534,CE:CF,2,FALSE)</f>
        <v>#N/A</v>
      </c>
    </row>
    <row r="535" spans="1:82" ht="61.5" x14ac:dyDescent="0.85">
      <c r="A535" s="20">
        <v>1</v>
      </c>
      <c r="B535" s="66">
        <f>SUBTOTAL(103,$A$22:A535)</f>
        <v>451</v>
      </c>
      <c r="C535" s="24" t="s">
        <v>1303</v>
      </c>
      <c r="D535" s="31">
        <f t="shared" si="113"/>
        <v>2920505.33</v>
      </c>
      <c r="E535" s="31">
        <v>0</v>
      </c>
      <c r="F535" s="31">
        <v>0</v>
      </c>
      <c r="G535" s="31">
        <v>2877345.15</v>
      </c>
      <c r="H535" s="31">
        <v>0</v>
      </c>
      <c r="I535" s="31">
        <v>0</v>
      </c>
      <c r="J535" s="31">
        <v>0</v>
      </c>
      <c r="K535" s="33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f t="shared" si="114"/>
        <v>43160.18</v>
      </c>
      <c r="AD535" s="31">
        <v>0</v>
      </c>
      <c r="AE535" s="31">
        <v>0</v>
      </c>
      <c r="AF535" s="34" t="s">
        <v>274</v>
      </c>
      <c r="AG535" s="34">
        <v>2020</v>
      </c>
      <c r="AH535" s="35">
        <v>2020</v>
      </c>
      <c r="BZ535" s="71"/>
      <c r="CD535" s="20" t="e">
        <f t="shared" si="115"/>
        <v>#N/A</v>
      </c>
    </row>
    <row r="536" spans="1:82" ht="61.5" x14ac:dyDescent="0.85">
      <c r="A536" s="20">
        <v>1</v>
      </c>
      <c r="B536" s="66">
        <f>SUBTOTAL(103,$A$22:A536)</f>
        <v>452</v>
      </c>
      <c r="C536" s="24" t="s">
        <v>1605</v>
      </c>
      <c r="D536" s="31">
        <f t="shared" si="113"/>
        <v>647690.07999999996</v>
      </c>
      <c r="E536" s="31">
        <v>0</v>
      </c>
      <c r="F536" s="31">
        <v>0</v>
      </c>
      <c r="G536" s="31">
        <f>580000-13837.44</f>
        <v>566162.56000000006</v>
      </c>
      <c r="H536" s="31">
        <v>0</v>
      </c>
      <c r="I536" s="31">
        <v>0</v>
      </c>
      <c r="J536" s="31">
        <v>0</v>
      </c>
      <c r="K536" s="33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f t="shared" si="114"/>
        <v>8492.44</v>
      </c>
      <c r="AD536" s="31">
        <v>73035.08</v>
      </c>
      <c r="AE536" s="31">
        <v>0</v>
      </c>
      <c r="AF536" s="34">
        <v>2020</v>
      </c>
      <c r="AG536" s="34">
        <v>2020</v>
      </c>
      <c r="AH536" s="35">
        <v>2020</v>
      </c>
      <c r="BZ536" s="71"/>
      <c r="CD536" s="20" t="e">
        <f t="shared" si="115"/>
        <v>#N/A</v>
      </c>
    </row>
    <row r="537" spans="1:82" ht="61.5" x14ac:dyDescent="0.85">
      <c r="A537" s="20">
        <v>1</v>
      </c>
      <c r="B537" s="66">
        <f>SUBTOTAL(103,$A$22:A537)</f>
        <v>453</v>
      </c>
      <c r="C537" s="24" t="s">
        <v>1606</v>
      </c>
      <c r="D537" s="31">
        <f t="shared" si="113"/>
        <v>737597.92999999993</v>
      </c>
      <c r="E537" s="31">
        <v>0</v>
      </c>
      <c r="F537" s="31">
        <v>0</v>
      </c>
      <c r="G537" s="31">
        <v>649985.21</v>
      </c>
      <c r="H537" s="31">
        <v>0</v>
      </c>
      <c r="I537" s="31">
        <v>0</v>
      </c>
      <c r="J537" s="31">
        <v>0</v>
      </c>
      <c r="K537" s="33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f t="shared" si="114"/>
        <v>9749.7800000000007</v>
      </c>
      <c r="AD537" s="31">
        <v>77862.94</v>
      </c>
      <c r="AE537" s="31">
        <v>0</v>
      </c>
      <c r="AF537" s="34">
        <v>2020</v>
      </c>
      <c r="AG537" s="34">
        <v>2020</v>
      </c>
      <c r="AH537" s="35">
        <v>2020</v>
      </c>
      <c r="BZ537" s="71"/>
      <c r="CD537" s="20" t="e">
        <f t="shared" si="115"/>
        <v>#N/A</v>
      </c>
    </row>
    <row r="538" spans="1:82" ht="61.5" x14ac:dyDescent="0.85">
      <c r="B538" s="24" t="s">
        <v>888</v>
      </c>
      <c r="C538" s="24"/>
      <c r="D538" s="31">
        <f>SUM(D539:D543)</f>
        <v>7943688.4699999988</v>
      </c>
      <c r="E538" s="31">
        <f t="shared" ref="E538:AE538" si="116">SUM(E539:E543)</f>
        <v>0</v>
      </c>
      <c r="F538" s="31">
        <f>SUM(F539:F543)</f>
        <v>0</v>
      </c>
      <c r="G538" s="31">
        <f t="shared" si="116"/>
        <v>0</v>
      </c>
      <c r="H538" s="31">
        <f t="shared" si="116"/>
        <v>499391.35</v>
      </c>
      <c r="I538" s="31">
        <f t="shared" si="116"/>
        <v>0</v>
      </c>
      <c r="J538" s="31">
        <f t="shared" si="116"/>
        <v>0</v>
      </c>
      <c r="K538" s="33">
        <f t="shared" si="116"/>
        <v>0</v>
      </c>
      <c r="L538" s="31">
        <f t="shared" si="116"/>
        <v>0</v>
      </c>
      <c r="M538" s="31">
        <f t="shared" si="116"/>
        <v>858.68</v>
      </c>
      <c r="N538" s="31">
        <f t="shared" si="116"/>
        <v>3783874.27</v>
      </c>
      <c r="O538" s="31">
        <f t="shared" si="116"/>
        <v>0</v>
      </c>
      <c r="P538" s="31">
        <f t="shared" si="116"/>
        <v>0</v>
      </c>
      <c r="Q538" s="31">
        <f t="shared" si="116"/>
        <v>0</v>
      </c>
      <c r="R538" s="31">
        <f t="shared" si="116"/>
        <v>0</v>
      </c>
      <c r="S538" s="31">
        <f t="shared" si="116"/>
        <v>0</v>
      </c>
      <c r="T538" s="31">
        <f t="shared" si="116"/>
        <v>0</v>
      </c>
      <c r="U538" s="31">
        <f t="shared" si="116"/>
        <v>3336026.4299999997</v>
      </c>
      <c r="V538" s="31">
        <f t="shared" si="116"/>
        <v>0</v>
      </c>
      <c r="W538" s="31">
        <f t="shared" si="116"/>
        <v>0</v>
      </c>
      <c r="X538" s="31">
        <f t="shared" si="116"/>
        <v>0</v>
      </c>
      <c r="Y538" s="31">
        <f t="shared" si="116"/>
        <v>0</v>
      </c>
      <c r="Z538" s="31">
        <f t="shared" si="116"/>
        <v>0</v>
      </c>
      <c r="AA538" s="31">
        <f t="shared" si="116"/>
        <v>0</v>
      </c>
      <c r="AB538" s="31">
        <f t="shared" si="116"/>
        <v>0</v>
      </c>
      <c r="AC538" s="31">
        <f t="shared" si="116"/>
        <v>114266.51</v>
      </c>
      <c r="AD538" s="31">
        <f t="shared" si="116"/>
        <v>210129.90999999997</v>
      </c>
      <c r="AE538" s="31">
        <f t="shared" si="116"/>
        <v>0</v>
      </c>
      <c r="AF538" s="72" t="s">
        <v>776</v>
      </c>
      <c r="AG538" s="72" t="s">
        <v>776</v>
      </c>
      <c r="AH538" s="88" t="s">
        <v>776</v>
      </c>
      <c r="AT538" s="20" t="e">
        <f>VLOOKUP(C538,AW:AX,2,FALSE)</f>
        <v>#N/A</v>
      </c>
      <c r="BZ538" s="71">
        <v>7944432.1499999994</v>
      </c>
      <c r="CD538" s="20" t="e">
        <f t="shared" si="115"/>
        <v>#N/A</v>
      </c>
    </row>
    <row r="539" spans="1:82" ht="61.5" x14ac:dyDescent="0.85">
      <c r="A539" s="20">
        <v>1</v>
      </c>
      <c r="B539" s="66">
        <f>SUBTOTAL(103,$A$22:A539)</f>
        <v>454</v>
      </c>
      <c r="C539" s="24" t="s">
        <v>224</v>
      </c>
      <c r="D539" s="31">
        <f>E539+F539+G539+H539+I539+J539+L539+N539+P539+R539+T539+U539+V539+W539+X539+Y539+Z539+AA539+AB539+AC539+AD539+AE539</f>
        <v>197289.33999999997</v>
      </c>
      <c r="E539" s="31">
        <v>0</v>
      </c>
      <c r="F539" s="31">
        <v>0</v>
      </c>
      <c r="G539" s="31">
        <v>0</v>
      </c>
      <c r="H539" s="31">
        <f>135260.43+ROUND(60000/101.5*100,2)</f>
        <v>194373.72999999998</v>
      </c>
      <c r="I539" s="31">
        <v>0</v>
      </c>
      <c r="J539" s="31">
        <v>0</v>
      </c>
      <c r="K539" s="33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f>ROUND((E539+F539+G539+H539+I539+J539)*1.5%,2)</f>
        <v>2915.61</v>
      </c>
      <c r="AD539" s="31">
        <v>0</v>
      </c>
      <c r="AE539" s="31">
        <v>0</v>
      </c>
      <c r="AF539" s="34" t="s">
        <v>274</v>
      </c>
      <c r="AG539" s="34">
        <v>2020</v>
      </c>
      <c r="AH539" s="35">
        <v>2020</v>
      </c>
      <c r="AT539" s="20" t="e">
        <f>VLOOKUP(C539,AW:AX,2,FALSE)</f>
        <v>#N/A</v>
      </c>
      <c r="BZ539" s="71"/>
      <c r="CD539" s="20" t="e">
        <f t="shared" si="115"/>
        <v>#N/A</v>
      </c>
    </row>
    <row r="540" spans="1:82" ht="61.5" x14ac:dyDescent="0.85">
      <c r="A540" s="20">
        <v>1</v>
      </c>
      <c r="B540" s="66">
        <f>SUBTOTAL(103,$A$22:A540)</f>
        <v>455</v>
      </c>
      <c r="C540" s="24" t="s">
        <v>225</v>
      </c>
      <c r="D540" s="31">
        <f>E540+F540+G540+H540+I540+J540+L540+N540+P540+R540+T540+U540+V540+W540+X540+Y540+Z540+AA540+AB540+AC540+AD540+AE540</f>
        <v>2428621.89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3">
        <v>0</v>
      </c>
      <c r="L540" s="31">
        <v>0</v>
      </c>
      <c r="M540" s="31">
        <v>618.67999999999995</v>
      </c>
      <c r="N540" s="31">
        <v>2339117.9900000002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f>ROUND(N540*1.5%,2)</f>
        <v>35086.769999999997</v>
      </c>
      <c r="AD540" s="31">
        <v>54417.13</v>
      </c>
      <c r="AE540" s="31">
        <v>0</v>
      </c>
      <c r="AF540" s="34">
        <v>2020</v>
      </c>
      <c r="AG540" s="34">
        <v>2020</v>
      </c>
      <c r="AH540" s="35">
        <v>2020</v>
      </c>
      <c r="AT540" s="20" t="e">
        <f>VLOOKUP(C540,AW:AX,2,FALSE)</f>
        <v>#N/A</v>
      </c>
      <c r="BZ540" s="71"/>
      <c r="CD540" s="20">
        <f t="shared" si="115"/>
        <v>615.20000000000005</v>
      </c>
    </row>
    <row r="541" spans="1:82" ht="61.5" x14ac:dyDescent="0.85">
      <c r="A541" s="20">
        <v>1</v>
      </c>
      <c r="B541" s="66">
        <f>SUBTOTAL(103,$A$22:A541)</f>
        <v>456</v>
      </c>
      <c r="C541" s="24" t="s">
        <v>230</v>
      </c>
      <c r="D541" s="31">
        <f>E541+F541+G541+H541+I541+J541+L541+N541+P541+R541+T541+U541+V541+W541+X541+Y541+Z541+AA541+AB541+AC541+AD541+AE541</f>
        <v>3498950.9099999997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3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f>2700000+2975144.42-N540</f>
        <v>3336026.4299999997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f>ROUND(U541*1.5%,2)</f>
        <v>50040.4</v>
      </c>
      <c r="AD541" s="31">
        <v>112884.08</v>
      </c>
      <c r="AE541" s="31">
        <v>0</v>
      </c>
      <c r="AF541" s="34">
        <v>2020</v>
      </c>
      <c r="AG541" s="34">
        <v>2020</v>
      </c>
      <c r="AH541" s="35">
        <v>2020</v>
      </c>
      <c r="AT541" s="20" t="e">
        <f>VLOOKUP(C541,AW:AX,2,FALSE)</f>
        <v>#N/A</v>
      </c>
      <c r="BZ541" s="71"/>
      <c r="CD541" s="20" t="e">
        <f t="shared" si="115"/>
        <v>#N/A</v>
      </c>
    </row>
    <row r="542" spans="1:82" ht="61.5" x14ac:dyDescent="0.85">
      <c r="A542" s="20">
        <v>1</v>
      </c>
      <c r="B542" s="66">
        <f>SUBTOTAL(103,$A$22:A542)</f>
        <v>457</v>
      </c>
      <c r="C542" s="24" t="s">
        <v>1118</v>
      </c>
      <c r="D542" s="31">
        <f>E542+F542+G542+H542+I542+J542+L542+N542+P542+R542+T542+U542+V542+W542+X542+Y542+Z542+AA542+AB542+AC542+AD542+AE542</f>
        <v>1509256.3199999998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3">
        <v>0</v>
      </c>
      <c r="L542" s="31">
        <v>0</v>
      </c>
      <c r="M542" s="31">
        <v>240</v>
      </c>
      <c r="N542" s="31">
        <f>1146041.38+267181.17-14207.77+45741.5</f>
        <v>1444756.2799999998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f>ROUND(N542*1.5%,2)</f>
        <v>21671.34</v>
      </c>
      <c r="AD542" s="31">
        <v>42828.7</v>
      </c>
      <c r="AE542" s="31">
        <v>0</v>
      </c>
      <c r="AF542" s="34">
        <v>2020</v>
      </c>
      <c r="AG542" s="34">
        <v>2020</v>
      </c>
      <c r="AH542" s="35">
        <v>2020</v>
      </c>
      <c r="AT542" s="20" t="e">
        <f>VLOOKUP(C542,AW:AX,2,FALSE)</f>
        <v>#N/A</v>
      </c>
      <c r="BZ542" s="71"/>
      <c r="CD542" s="20" t="e">
        <f t="shared" si="115"/>
        <v>#N/A</v>
      </c>
    </row>
    <row r="543" spans="1:82" ht="61.5" x14ac:dyDescent="0.85">
      <c r="A543" s="20">
        <v>1</v>
      </c>
      <c r="B543" s="66">
        <f>SUBTOTAL(103,$A$22:A543)</f>
        <v>458</v>
      </c>
      <c r="C543" s="24" t="s">
        <v>1304</v>
      </c>
      <c r="D543" s="31">
        <f>E543+F543+G543+H543+I543+J543+L543+N543+P543+R543+T543+U543+V543+W543+X543+Y543+Z543+AA543+AB543+AC543+AD543+AE543</f>
        <v>309570.01</v>
      </c>
      <c r="E543" s="31">
        <v>0</v>
      </c>
      <c r="F543" s="31">
        <v>0</v>
      </c>
      <c r="G543" s="31">
        <v>0</v>
      </c>
      <c r="H543" s="31">
        <v>305017.62</v>
      </c>
      <c r="I543" s="31">
        <v>0</v>
      </c>
      <c r="J543" s="31">
        <v>0</v>
      </c>
      <c r="K543" s="33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f>ROUND((E543+F543+G543+H543+I543+J543)*1.4925%,2)</f>
        <v>4552.3900000000003</v>
      </c>
      <c r="AD543" s="31">
        <v>0</v>
      </c>
      <c r="AE543" s="31">
        <v>0</v>
      </c>
      <c r="AF543" s="34" t="s">
        <v>274</v>
      </c>
      <c r="AG543" s="34">
        <v>2020</v>
      </c>
      <c r="AH543" s="35">
        <v>2020</v>
      </c>
      <c r="BZ543" s="71"/>
      <c r="CD543" s="20" t="e">
        <f t="shared" si="115"/>
        <v>#N/A</v>
      </c>
    </row>
    <row r="544" spans="1:82" ht="61.5" x14ac:dyDescent="0.85">
      <c r="B544" s="24" t="s">
        <v>889</v>
      </c>
      <c r="C544" s="24"/>
      <c r="D544" s="31">
        <f>SUM(D545:D547)</f>
        <v>917252.46000000008</v>
      </c>
      <c r="E544" s="31">
        <f t="shared" ref="E544:AE544" si="117">SUM(E545:E547)</f>
        <v>0</v>
      </c>
      <c r="F544" s="31">
        <f t="shared" si="117"/>
        <v>0</v>
      </c>
      <c r="G544" s="31">
        <f t="shared" si="117"/>
        <v>0</v>
      </c>
      <c r="H544" s="31">
        <f t="shared" si="117"/>
        <v>75861.41</v>
      </c>
      <c r="I544" s="31">
        <f t="shared" si="117"/>
        <v>0</v>
      </c>
      <c r="J544" s="31">
        <f t="shared" si="117"/>
        <v>0</v>
      </c>
      <c r="K544" s="33">
        <f t="shared" si="117"/>
        <v>0</v>
      </c>
      <c r="L544" s="31">
        <f t="shared" si="117"/>
        <v>0</v>
      </c>
      <c r="M544" s="31">
        <f t="shared" si="117"/>
        <v>0</v>
      </c>
      <c r="N544" s="31">
        <f t="shared" si="117"/>
        <v>0</v>
      </c>
      <c r="O544" s="31">
        <f t="shared" si="117"/>
        <v>125</v>
      </c>
      <c r="P544" s="31">
        <f t="shared" si="117"/>
        <v>467275.99000000005</v>
      </c>
      <c r="Q544" s="31">
        <f t="shared" si="117"/>
        <v>582.4</v>
      </c>
      <c r="R544" s="31">
        <f t="shared" si="117"/>
        <v>360559.61</v>
      </c>
      <c r="S544" s="31">
        <f t="shared" si="117"/>
        <v>0</v>
      </c>
      <c r="T544" s="31">
        <f t="shared" si="117"/>
        <v>0</v>
      </c>
      <c r="U544" s="31">
        <f t="shared" si="117"/>
        <v>0</v>
      </c>
      <c r="V544" s="31">
        <f t="shared" si="117"/>
        <v>0</v>
      </c>
      <c r="W544" s="31">
        <f t="shared" si="117"/>
        <v>0</v>
      </c>
      <c r="X544" s="31">
        <f t="shared" si="117"/>
        <v>0</v>
      </c>
      <c r="Y544" s="31">
        <f t="shared" si="117"/>
        <v>0</v>
      </c>
      <c r="Z544" s="31">
        <f t="shared" si="117"/>
        <v>0</v>
      </c>
      <c r="AA544" s="31">
        <f t="shared" si="117"/>
        <v>0</v>
      </c>
      <c r="AB544" s="31">
        <f t="shared" si="117"/>
        <v>0</v>
      </c>
      <c r="AC544" s="31">
        <f t="shared" si="117"/>
        <v>13555.45</v>
      </c>
      <c r="AD544" s="31">
        <f t="shared" si="117"/>
        <v>0</v>
      </c>
      <c r="AE544" s="31">
        <f t="shared" si="117"/>
        <v>0</v>
      </c>
      <c r="AF544" s="72" t="s">
        <v>776</v>
      </c>
      <c r="AG544" s="72" t="s">
        <v>776</v>
      </c>
      <c r="AH544" s="88" t="s">
        <v>776</v>
      </c>
      <c r="AT544" s="20" t="e">
        <f>VLOOKUP(C544,AW:AX,2,FALSE)</f>
        <v>#N/A</v>
      </c>
      <c r="BZ544" s="71">
        <v>786720.65</v>
      </c>
      <c r="CB544" s="71">
        <f>BZ544-D544</f>
        <v>-130531.81000000006</v>
      </c>
      <c r="CD544" s="20" t="e">
        <f t="shared" si="115"/>
        <v>#N/A</v>
      </c>
    </row>
    <row r="545" spans="1:82" ht="61.5" x14ac:dyDescent="0.85">
      <c r="A545" s="20">
        <v>1</v>
      </c>
      <c r="B545" s="66">
        <f>SUBTOTAL(103,$A$22:A545)</f>
        <v>459</v>
      </c>
      <c r="C545" s="24" t="s">
        <v>228</v>
      </c>
      <c r="D545" s="31">
        <f>E545+F545+G545+H545+I545+J545+L545+N545+P545+R545+T545+U545+V545+W545+X545+Y545+Z545+AA545+AB545+AC545+AD545+AE545</f>
        <v>76999.33</v>
      </c>
      <c r="E545" s="31">
        <v>0</v>
      </c>
      <c r="F545" s="31">
        <v>0</v>
      </c>
      <c r="G545" s="31">
        <v>0</v>
      </c>
      <c r="H545" s="31">
        <f>54765.95+ROUND(21411.89/101.5*100,2)</f>
        <v>75861.41</v>
      </c>
      <c r="I545" s="31">
        <v>0</v>
      </c>
      <c r="J545" s="31">
        <v>0</v>
      </c>
      <c r="K545" s="33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f>ROUND((E545+F545+G545+H545+I545+J545)*1.5%,2)</f>
        <v>1137.92</v>
      </c>
      <c r="AD545" s="31">
        <v>0</v>
      </c>
      <c r="AE545" s="31">
        <v>0</v>
      </c>
      <c r="AF545" s="34" t="s">
        <v>274</v>
      </c>
      <c r="AG545" s="34">
        <v>2020</v>
      </c>
      <c r="AH545" s="35">
        <v>2020</v>
      </c>
      <c r="AT545" s="20" t="e">
        <f>VLOOKUP(C545,AW:AX,2,FALSE)</f>
        <v>#N/A</v>
      </c>
      <c r="BZ545" s="71"/>
      <c r="CD545" s="20" t="e">
        <f t="shared" si="115"/>
        <v>#N/A</v>
      </c>
    </row>
    <row r="546" spans="1:82" ht="61.5" x14ac:dyDescent="0.85">
      <c r="A546" s="20">
        <v>1</v>
      </c>
      <c r="B546" s="66">
        <f>SUBTOTAL(103,$A$22:A546)</f>
        <v>460</v>
      </c>
      <c r="C546" s="24" t="s">
        <v>1316</v>
      </c>
      <c r="D546" s="31">
        <f>E546+F546+G546+H546+I546+J546+L546+N546+P546+R546+T546+U546+V546+W546+X546+Y546+Z546+AA546+AB546+AC546+AD546+AE546</f>
        <v>365968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3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582.4</v>
      </c>
      <c r="R546" s="31">
        <v>360559.61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f>ROUND(R546*1.5%,2)</f>
        <v>5408.39</v>
      </c>
      <c r="AD546" s="31">
        <v>0</v>
      </c>
      <c r="AE546" s="31">
        <v>0</v>
      </c>
      <c r="AF546" s="34" t="s">
        <v>274</v>
      </c>
      <c r="AG546" s="34">
        <v>2020</v>
      </c>
      <c r="AH546" s="35">
        <v>2020</v>
      </c>
      <c r="BZ546" s="71"/>
      <c r="CD546" s="20" t="e">
        <f t="shared" si="115"/>
        <v>#N/A</v>
      </c>
    </row>
    <row r="547" spans="1:82" ht="61.5" x14ac:dyDescent="0.85">
      <c r="A547" s="20">
        <v>1</v>
      </c>
      <c r="B547" s="66">
        <f>SUBTOTAL(103,$A$22:A547)</f>
        <v>461</v>
      </c>
      <c r="C547" s="24" t="s">
        <v>1317</v>
      </c>
      <c r="D547" s="31">
        <f>E547+F547+G547+H547+I547+J547+L547+N547+P547+R547+T547+U547+V547+W547+X547+Y547+Z547+AA547+AB547+AC547+AD547+AE547</f>
        <v>474285.13000000006</v>
      </c>
      <c r="E547" s="31">
        <v>0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3">
        <v>0</v>
      </c>
      <c r="L547" s="31">
        <v>0</v>
      </c>
      <c r="M547" s="31">
        <v>0</v>
      </c>
      <c r="N547" s="31">
        <v>0</v>
      </c>
      <c r="O547" s="31">
        <v>125</v>
      </c>
      <c r="P547" s="31">
        <f>256520.29+50000+17768.46+142987.24</f>
        <v>467275.99000000005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f>ROUND(P547*1.5%,2)</f>
        <v>7009.14</v>
      </c>
      <c r="AD547" s="31">
        <v>0</v>
      </c>
      <c r="AE547" s="31">
        <v>0</v>
      </c>
      <c r="AF547" s="34" t="s">
        <v>274</v>
      </c>
      <c r="AG547" s="34">
        <v>2020</v>
      </c>
      <c r="AH547" s="35">
        <v>2020</v>
      </c>
      <c r="BZ547" s="71"/>
      <c r="CD547" s="20" t="e">
        <f t="shared" si="115"/>
        <v>#N/A</v>
      </c>
    </row>
    <row r="548" spans="1:82" ht="61.5" x14ac:dyDescent="0.85">
      <c r="B548" s="24" t="s">
        <v>890</v>
      </c>
      <c r="C548" s="24"/>
      <c r="D548" s="31">
        <f t="shared" ref="D548:AE548" si="118">D549</f>
        <v>1455782.0000000002</v>
      </c>
      <c r="E548" s="31">
        <f t="shared" si="118"/>
        <v>0</v>
      </c>
      <c r="F548" s="31">
        <f t="shared" si="118"/>
        <v>0</v>
      </c>
      <c r="G548" s="31">
        <f t="shared" si="118"/>
        <v>0</v>
      </c>
      <c r="H548" s="31">
        <f t="shared" si="118"/>
        <v>0</v>
      </c>
      <c r="I548" s="31">
        <f t="shared" si="118"/>
        <v>0</v>
      </c>
      <c r="J548" s="31">
        <f t="shared" si="118"/>
        <v>0</v>
      </c>
      <c r="K548" s="33">
        <f t="shared" si="118"/>
        <v>0</v>
      </c>
      <c r="L548" s="31">
        <f t="shared" si="118"/>
        <v>0</v>
      </c>
      <c r="M548" s="31">
        <f t="shared" si="118"/>
        <v>297</v>
      </c>
      <c r="N548" s="31">
        <f t="shared" si="118"/>
        <v>1395939.56</v>
      </c>
      <c r="O548" s="31">
        <f t="shared" si="118"/>
        <v>0</v>
      </c>
      <c r="P548" s="31">
        <f t="shared" si="118"/>
        <v>0</v>
      </c>
      <c r="Q548" s="31">
        <f t="shared" si="118"/>
        <v>0</v>
      </c>
      <c r="R548" s="31">
        <f t="shared" si="118"/>
        <v>0</v>
      </c>
      <c r="S548" s="31">
        <f t="shared" si="118"/>
        <v>0</v>
      </c>
      <c r="T548" s="31">
        <f t="shared" si="118"/>
        <v>0</v>
      </c>
      <c r="U548" s="31">
        <f t="shared" si="118"/>
        <v>0</v>
      </c>
      <c r="V548" s="31">
        <f t="shared" si="118"/>
        <v>0</v>
      </c>
      <c r="W548" s="31">
        <f t="shared" si="118"/>
        <v>0</v>
      </c>
      <c r="X548" s="31">
        <f t="shared" si="118"/>
        <v>0</v>
      </c>
      <c r="Y548" s="31">
        <f t="shared" si="118"/>
        <v>0</v>
      </c>
      <c r="Z548" s="31">
        <f t="shared" si="118"/>
        <v>0</v>
      </c>
      <c r="AA548" s="31">
        <f t="shared" si="118"/>
        <v>0</v>
      </c>
      <c r="AB548" s="31">
        <f t="shared" si="118"/>
        <v>0</v>
      </c>
      <c r="AC548" s="31">
        <f t="shared" si="118"/>
        <v>20939.09</v>
      </c>
      <c r="AD548" s="31">
        <f t="shared" si="118"/>
        <v>38903.35</v>
      </c>
      <c r="AE548" s="31">
        <f t="shared" si="118"/>
        <v>0</v>
      </c>
      <c r="AF548" s="72" t="s">
        <v>776</v>
      </c>
      <c r="AG548" s="72" t="s">
        <v>776</v>
      </c>
      <c r="AH548" s="88" t="s">
        <v>776</v>
      </c>
      <c r="AT548" s="20" t="e">
        <f t="shared" ref="AT548:AT554" si="119">VLOOKUP(C548,AW:AX,2,FALSE)</f>
        <v>#N/A</v>
      </c>
      <c r="BZ548" s="31">
        <v>1568000</v>
      </c>
      <c r="CA548" s="31"/>
      <c r="CB548" s="31">
        <f>BZ548-D548</f>
        <v>112217.99999999977</v>
      </c>
      <c r="CD548" s="20" t="e">
        <f t="shared" si="115"/>
        <v>#N/A</v>
      </c>
    </row>
    <row r="549" spans="1:82" ht="61.5" x14ac:dyDescent="0.85">
      <c r="A549" s="20">
        <v>1</v>
      </c>
      <c r="B549" s="66">
        <f>SUBTOTAL(103,$A$22:A549)</f>
        <v>462</v>
      </c>
      <c r="C549" s="24" t="s">
        <v>227</v>
      </c>
      <c r="D549" s="31">
        <f>E549+F549+G549+H549+I549+J549+L549+N549+P549+R549+T549+U549+V549+W549+X549+Y549+Z549+AA549+AB549+AC549+AD549+AE549</f>
        <v>1455782.0000000002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3">
        <v>0</v>
      </c>
      <c r="L549" s="31">
        <v>0</v>
      </c>
      <c r="M549" s="31">
        <v>297</v>
      </c>
      <c r="N549" s="31">
        <v>1395939.56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f>ROUND(N549*1.5%,2)</f>
        <v>20939.09</v>
      </c>
      <c r="AD549" s="31">
        <v>38903.35</v>
      </c>
      <c r="AE549" s="31">
        <v>0</v>
      </c>
      <c r="AF549" s="34">
        <v>2020</v>
      </c>
      <c r="AG549" s="34">
        <v>2020</v>
      </c>
      <c r="AH549" s="35">
        <v>2020</v>
      </c>
      <c r="AT549" s="20" t="e">
        <f t="shared" si="119"/>
        <v>#N/A</v>
      </c>
      <c r="BZ549" s="71"/>
      <c r="CD549" s="20">
        <f t="shared" si="115"/>
        <v>289.86</v>
      </c>
    </row>
    <row r="550" spans="1:82" ht="61.5" x14ac:dyDescent="0.85">
      <c r="B550" s="24" t="s">
        <v>779</v>
      </c>
      <c r="C550" s="24"/>
      <c r="D550" s="31">
        <f t="shared" ref="D550:AE550" si="120">D551+D684+D703+D765+D788+D792+D811+D814+D819+D822+D824+D827+D829+D831+D838+D844+D846+D848+D850+D852+D854+D856+D858+D867+D869+D872+D874+D876+D882+D885+D887+D889+D891+D893+D895+D897+D901+D905+D908+D910+D916+D919+D926+D928+D930+D932+D934+D938+D942+D944+D946+D948+D952+D954+D957+D959+D921+D899</f>
        <v>957770537.6500001</v>
      </c>
      <c r="E550" s="31">
        <f t="shared" si="120"/>
        <v>919664.16</v>
      </c>
      <c r="F550" s="31">
        <f t="shared" si="120"/>
        <v>1360064.57</v>
      </c>
      <c r="G550" s="31">
        <f t="shared" si="120"/>
        <v>7793528.1000000006</v>
      </c>
      <c r="H550" s="31">
        <f t="shared" si="120"/>
        <v>2515535.2999999998</v>
      </c>
      <c r="I550" s="31">
        <f t="shared" si="120"/>
        <v>4671397.5199999996</v>
      </c>
      <c r="J550" s="31">
        <f t="shared" si="120"/>
        <v>0</v>
      </c>
      <c r="K550" s="76">
        <f t="shared" si="120"/>
        <v>38</v>
      </c>
      <c r="L550" s="31">
        <f t="shared" si="120"/>
        <v>80863598.800000012</v>
      </c>
      <c r="M550" s="31">
        <f t="shared" si="120"/>
        <v>149497.51888180294</v>
      </c>
      <c r="N550" s="31">
        <f t="shared" si="120"/>
        <v>700139697.84999979</v>
      </c>
      <c r="O550" s="31">
        <f t="shared" si="120"/>
        <v>278</v>
      </c>
      <c r="P550" s="31">
        <f t="shared" si="120"/>
        <v>1318378.6100000001</v>
      </c>
      <c r="Q550" s="31">
        <f t="shared" si="120"/>
        <v>26511.600000000002</v>
      </c>
      <c r="R550" s="31">
        <f t="shared" si="120"/>
        <v>77515186.460000008</v>
      </c>
      <c r="S550" s="31">
        <f t="shared" si="120"/>
        <v>343</v>
      </c>
      <c r="T550" s="31">
        <f t="shared" si="120"/>
        <v>5477168.4500000002</v>
      </c>
      <c r="U550" s="31">
        <f t="shared" si="120"/>
        <v>19290393.84</v>
      </c>
      <c r="V550" s="31">
        <f t="shared" si="120"/>
        <v>0</v>
      </c>
      <c r="W550" s="31">
        <f t="shared" si="120"/>
        <v>0</v>
      </c>
      <c r="X550" s="31">
        <f t="shared" si="120"/>
        <v>0</v>
      </c>
      <c r="Y550" s="31">
        <f t="shared" si="120"/>
        <v>0</v>
      </c>
      <c r="Z550" s="31">
        <f t="shared" si="120"/>
        <v>0</v>
      </c>
      <c r="AA550" s="31">
        <f t="shared" si="120"/>
        <v>0</v>
      </c>
      <c r="AB550" s="31">
        <f t="shared" si="120"/>
        <v>0</v>
      </c>
      <c r="AC550" s="31">
        <f t="shared" si="120"/>
        <v>12265055.750000004</v>
      </c>
      <c r="AD550" s="31">
        <f t="shared" si="120"/>
        <v>42920868.239999995</v>
      </c>
      <c r="AE550" s="31">
        <f t="shared" si="120"/>
        <v>720000</v>
      </c>
      <c r="AF550" s="72" t="s">
        <v>776</v>
      </c>
      <c r="AG550" s="72" t="s">
        <v>776</v>
      </c>
      <c r="AH550" s="88" t="s">
        <v>776</v>
      </c>
      <c r="AT550" s="20" t="e">
        <f t="shared" si="119"/>
        <v>#N/A</v>
      </c>
      <c r="BZ550" s="71">
        <v>799638471.25999999</v>
      </c>
      <c r="CD550" s="20" t="e">
        <f t="shared" si="115"/>
        <v>#N/A</v>
      </c>
    </row>
    <row r="551" spans="1:82" ht="61.5" x14ac:dyDescent="0.85">
      <c r="B551" s="24" t="s">
        <v>1117</v>
      </c>
      <c r="C551" s="129"/>
      <c r="D551" s="31">
        <f t="shared" ref="D551:AE551" si="121">SUM(D552:D683)</f>
        <v>282309035.2899999</v>
      </c>
      <c r="E551" s="31">
        <f t="shared" si="121"/>
        <v>102509.44</v>
      </c>
      <c r="F551" s="31">
        <f t="shared" si="121"/>
        <v>0</v>
      </c>
      <c r="G551" s="31">
        <f t="shared" si="121"/>
        <v>0</v>
      </c>
      <c r="H551" s="31">
        <f t="shared" si="121"/>
        <v>115886.17</v>
      </c>
      <c r="I551" s="31">
        <f t="shared" si="121"/>
        <v>0</v>
      </c>
      <c r="J551" s="31">
        <f t="shared" si="121"/>
        <v>0</v>
      </c>
      <c r="K551" s="33">
        <f t="shared" si="121"/>
        <v>16</v>
      </c>
      <c r="L551" s="31">
        <f t="shared" si="121"/>
        <v>33615917.760000005</v>
      </c>
      <c r="M551" s="31">
        <f t="shared" si="121"/>
        <v>44772.76</v>
      </c>
      <c r="N551" s="31">
        <f t="shared" si="121"/>
        <v>199068630.14000002</v>
      </c>
      <c r="O551" s="31">
        <f t="shared" si="121"/>
        <v>278</v>
      </c>
      <c r="P551" s="31">
        <f t="shared" si="121"/>
        <v>1318378.6100000001</v>
      </c>
      <c r="Q551" s="31">
        <f t="shared" si="121"/>
        <v>10500.75</v>
      </c>
      <c r="R551" s="31">
        <f t="shared" si="121"/>
        <v>31919342.990000002</v>
      </c>
      <c r="S551" s="31">
        <f t="shared" si="121"/>
        <v>0</v>
      </c>
      <c r="T551" s="31">
        <f t="shared" si="121"/>
        <v>0</v>
      </c>
      <c r="U551" s="31">
        <f t="shared" si="121"/>
        <v>0</v>
      </c>
      <c r="V551" s="31">
        <f t="shared" si="121"/>
        <v>0</v>
      </c>
      <c r="W551" s="31">
        <f t="shared" si="121"/>
        <v>0</v>
      </c>
      <c r="X551" s="31">
        <f t="shared" si="121"/>
        <v>0</v>
      </c>
      <c r="Y551" s="31">
        <f t="shared" si="121"/>
        <v>0</v>
      </c>
      <c r="Z551" s="31">
        <f t="shared" si="121"/>
        <v>0</v>
      </c>
      <c r="AA551" s="31">
        <f t="shared" si="121"/>
        <v>0</v>
      </c>
      <c r="AB551" s="31">
        <f t="shared" si="121"/>
        <v>0</v>
      </c>
      <c r="AC551" s="31">
        <f t="shared" si="121"/>
        <v>3486817.7100000004</v>
      </c>
      <c r="AD551" s="31">
        <f t="shared" si="121"/>
        <v>12681552.469999999</v>
      </c>
      <c r="AE551" s="31">
        <f t="shared" si="121"/>
        <v>0</v>
      </c>
      <c r="AF551" s="72" t="s">
        <v>776</v>
      </c>
      <c r="AG551" s="72" t="s">
        <v>776</v>
      </c>
      <c r="AH551" s="88" t="s">
        <v>776</v>
      </c>
      <c r="AT551" s="20" t="e">
        <f t="shared" si="119"/>
        <v>#N/A</v>
      </c>
      <c r="BZ551" s="71">
        <v>225509821.20999989</v>
      </c>
      <c r="CD551" s="20" t="e">
        <f t="shared" si="115"/>
        <v>#N/A</v>
      </c>
    </row>
    <row r="552" spans="1:82" ht="61.5" x14ac:dyDescent="0.85">
      <c r="A552" s="20">
        <v>1</v>
      </c>
      <c r="B552" s="66">
        <f>SUBTOTAL(103,$A$552:A552)</f>
        <v>1</v>
      </c>
      <c r="C552" s="24" t="s">
        <v>539</v>
      </c>
      <c r="D552" s="31">
        <f t="shared" ref="D552:D672" si="122">E552+F552+G552+H552+I552+J552+L552+N552+P552+R552+T552+U552+V552+W552+X552+Y552+Z552+AA552+AB552+AC552+AD552+AE552</f>
        <v>4625631.57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3">
        <v>0</v>
      </c>
      <c r="L552" s="31">
        <v>0</v>
      </c>
      <c r="M552" s="31">
        <v>940</v>
      </c>
      <c r="N552" s="31">
        <v>4458750.32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66881.25</v>
      </c>
      <c r="AD552" s="31">
        <v>100000</v>
      </c>
      <c r="AE552" s="31">
        <v>0</v>
      </c>
      <c r="AF552" s="34">
        <v>2021</v>
      </c>
      <c r="AG552" s="34">
        <v>2021</v>
      </c>
      <c r="AH552" s="35">
        <v>2021</v>
      </c>
      <c r="AT552" s="20" t="e">
        <f t="shared" si="119"/>
        <v>#N/A</v>
      </c>
      <c r="BZ552" s="71"/>
      <c r="CD552" s="20" t="e">
        <f t="shared" si="115"/>
        <v>#N/A</v>
      </c>
    </row>
    <row r="553" spans="1:82" ht="61.5" x14ac:dyDescent="0.85">
      <c r="A553" s="20">
        <v>1</v>
      </c>
      <c r="B553" s="66">
        <f>SUBTOTAL(103,$A$552:A553)</f>
        <v>2</v>
      </c>
      <c r="C553" s="24" t="s">
        <v>540</v>
      </c>
      <c r="D553" s="31">
        <f t="shared" si="122"/>
        <v>4549323.9899999993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3">
        <v>0</v>
      </c>
      <c r="L553" s="31">
        <v>0</v>
      </c>
      <c r="M553" s="31">
        <v>960</v>
      </c>
      <c r="N553" s="31">
        <v>4383570.43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65753.56</v>
      </c>
      <c r="AD553" s="31">
        <v>100000</v>
      </c>
      <c r="AE553" s="31">
        <v>0</v>
      </c>
      <c r="AF553" s="34">
        <v>2021</v>
      </c>
      <c r="AG553" s="34">
        <v>2021</v>
      </c>
      <c r="AH553" s="35">
        <v>2021</v>
      </c>
      <c r="AT553" s="20" t="e">
        <f t="shared" si="119"/>
        <v>#N/A</v>
      </c>
      <c r="BZ553" s="71"/>
      <c r="CD553" s="20" t="e">
        <f t="shared" si="115"/>
        <v>#N/A</v>
      </c>
    </row>
    <row r="554" spans="1:82" ht="61.5" x14ac:dyDescent="0.85">
      <c r="A554" s="20">
        <v>1</v>
      </c>
      <c r="B554" s="66">
        <f>SUBTOTAL(103,$A$552:A554)</f>
        <v>3</v>
      </c>
      <c r="C554" s="24" t="s">
        <v>541</v>
      </c>
      <c r="D554" s="31">
        <f t="shared" si="122"/>
        <v>4549323.9899999993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3">
        <v>0</v>
      </c>
      <c r="L554" s="31">
        <v>0</v>
      </c>
      <c r="M554" s="31">
        <v>960</v>
      </c>
      <c r="N554" s="31">
        <v>4383570.43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65753.56</v>
      </c>
      <c r="AD554" s="31">
        <v>100000</v>
      </c>
      <c r="AE554" s="31">
        <v>0</v>
      </c>
      <c r="AF554" s="34">
        <v>2021</v>
      </c>
      <c r="AG554" s="34">
        <v>2021</v>
      </c>
      <c r="AH554" s="35">
        <v>2021</v>
      </c>
      <c r="AT554" s="20" t="e">
        <f t="shared" si="119"/>
        <v>#N/A</v>
      </c>
      <c r="BZ554" s="71"/>
      <c r="CD554" s="20" t="e">
        <f t="shared" si="115"/>
        <v>#N/A</v>
      </c>
    </row>
    <row r="555" spans="1:82" ht="61.5" x14ac:dyDescent="0.85">
      <c r="A555" s="20">
        <v>1</v>
      </c>
      <c r="B555" s="66">
        <f>SUBTOTAL(103,$A$552:A555)</f>
        <v>4</v>
      </c>
      <c r="C555" s="24" t="s">
        <v>542</v>
      </c>
      <c r="D555" s="31">
        <f t="shared" si="122"/>
        <v>3263607.5799999996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3">
        <v>0</v>
      </c>
      <c r="L555" s="31">
        <v>0</v>
      </c>
      <c r="M555" s="31">
        <v>657.1</v>
      </c>
      <c r="N555" s="31">
        <v>3116854.76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v>46752.82</v>
      </c>
      <c r="AD555" s="31">
        <v>100000</v>
      </c>
      <c r="AE555" s="31">
        <v>0</v>
      </c>
      <c r="AF555" s="34">
        <v>2021</v>
      </c>
      <c r="AG555" s="34">
        <v>2021</v>
      </c>
      <c r="AH555" s="35">
        <v>2021</v>
      </c>
      <c r="BZ555" s="71"/>
      <c r="CD555" s="20" t="e">
        <f t="shared" si="115"/>
        <v>#N/A</v>
      </c>
    </row>
    <row r="556" spans="1:82" ht="61.5" x14ac:dyDescent="0.85">
      <c r="A556" s="20">
        <v>1</v>
      </c>
      <c r="B556" s="66">
        <f>SUBTOTAL(103,$A$552:A556)</f>
        <v>5</v>
      </c>
      <c r="C556" s="24" t="s">
        <v>543</v>
      </c>
      <c r="D556" s="31">
        <f t="shared" si="122"/>
        <v>2176230.92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3">
        <v>1</v>
      </c>
      <c r="L556" s="31">
        <v>2079444.66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96786.26</v>
      </c>
      <c r="AE556" s="31">
        <v>0</v>
      </c>
      <c r="AF556" s="34">
        <v>2021</v>
      </c>
      <c r="AG556" s="34">
        <v>2021</v>
      </c>
      <c r="AH556" s="35" t="s">
        <v>274</v>
      </c>
      <c r="AT556" s="20" t="e">
        <f>VLOOKUP(C556,AW:AX,2,FALSE)</f>
        <v>#N/A</v>
      </c>
      <c r="BZ556" s="71"/>
      <c r="CD556" s="20" t="e">
        <f t="shared" si="115"/>
        <v>#N/A</v>
      </c>
    </row>
    <row r="557" spans="1:82" ht="61.5" x14ac:dyDescent="0.85">
      <c r="A557" s="20">
        <v>1</v>
      </c>
      <c r="B557" s="66">
        <f>SUBTOTAL(103,$A$552:A557)</f>
        <v>6</v>
      </c>
      <c r="C557" s="24" t="s">
        <v>544</v>
      </c>
      <c r="D557" s="31">
        <f t="shared" si="122"/>
        <v>2176122.0499999998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3">
        <v>1</v>
      </c>
      <c r="L557" s="31">
        <v>2079444.66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96677.39</v>
      </c>
      <c r="AE557" s="31">
        <v>0</v>
      </c>
      <c r="AF557" s="34">
        <v>2021</v>
      </c>
      <c r="AG557" s="34">
        <v>2021</v>
      </c>
      <c r="AH557" s="35" t="s">
        <v>274</v>
      </c>
      <c r="AT557" s="20" t="e">
        <f>VLOOKUP(C557,AW:AX,2,FALSE)</f>
        <v>#N/A</v>
      </c>
      <c r="BZ557" s="71"/>
      <c r="CD557" s="20" t="e">
        <f t="shared" si="115"/>
        <v>#N/A</v>
      </c>
    </row>
    <row r="558" spans="1:82" ht="61.5" x14ac:dyDescent="0.85">
      <c r="A558" s="20">
        <v>1</v>
      </c>
      <c r="B558" s="66">
        <f>SUBTOTAL(103,$A$552:A558)</f>
        <v>7</v>
      </c>
      <c r="C558" s="24" t="s">
        <v>545</v>
      </c>
      <c r="D558" s="31">
        <f t="shared" si="122"/>
        <v>4642018.24</v>
      </c>
      <c r="E558" s="31">
        <v>0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3">
        <v>0</v>
      </c>
      <c r="L558" s="31">
        <v>0</v>
      </c>
      <c r="M558" s="31">
        <v>980</v>
      </c>
      <c r="N558" s="31">
        <v>4474894.82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67123.42</v>
      </c>
      <c r="AD558" s="31">
        <v>100000</v>
      </c>
      <c r="AE558" s="31">
        <v>0</v>
      </c>
      <c r="AF558" s="34">
        <v>2021</v>
      </c>
      <c r="AG558" s="34">
        <v>2021</v>
      </c>
      <c r="AH558" s="35">
        <v>2021</v>
      </c>
      <c r="BZ558" s="71"/>
      <c r="CD558" s="20" t="e">
        <f t="shared" si="115"/>
        <v>#N/A</v>
      </c>
    </row>
    <row r="559" spans="1:82" ht="61.5" x14ac:dyDescent="0.85">
      <c r="A559" s="20">
        <v>1</v>
      </c>
      <c r="B559" s="66">
        <f>SUBTOTAL(103,$A$552:A559)</f>
        <v>8</v>
      </c>
      <c r="C559" s="24" t="s">
        <v>546</v>
      </c>
      <c r="D559" s="31">
        <f t="shared" si="122"/>
        <v>3518296.02</v>
      </c>
      <c r="E559" s="31">
        <v>0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3">
        <v>0</v>
      </c>
      <c r="L559" s="31">
        <v>0</v>
      </c>
      <c r="M559" s="31">
        <v>710</v>
      </c>
      <c r="N559" s="31">
        <v>3367779.33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1">
        <v>0</v>
      </c>
      <c r="Z559" s="31">
        <v>0</v>
      </c>
      <c r="AA559" s="31">
        <v>0</v>
      </c>
      <c r="AB559" s="31">
        <v>0</v>
      </c>
      <c r="AC559" s="31">
        <v>50516.69</v>
      </c>
      <c r="AD559" s="31">
        <v>100000</v>
      </c>
      <c r="AE559" s="31">
        <v>0</v>
      </c>
      <c r="AF559" s="34">
        <v>2021</v>
      </c>
      <c r="AG559" s="34">
        <v>2021</v>
      </c>
      <c r="AH559" s="35">
        <v>2021</v>
      </c>
      <c r="AT559" s="20" t="e">
        <f>VLOOKUP(C559,AW:AX,2,FALSE)</f>
        <v>#N/A</v>
      </c>
      <c r="BZ559" s="71"/>
      <c r="CD559" s="20" t="e">
        <f t="shared" si="115"/>
        <v>#N/A</v>
      </c>
    </row>
    <row r="560" spans="1:82" ht="61.5" x14ac:dyDescent="0.85">
      <c r="A560" s="20">
        <v>1</v>
      </c>
      <c r="B560" s="66">
        <f>SUBTOTAL(103,$A$552:A560)</f>
        <v>9</v>
      </c>
      <c r="C560" s="24" t="s">
        <v>1403</v>
      </c>
      <c r="D560" s="31">
        <f t="shared" si="122"/>
        <v>13626023.99</v>
      </c>
      <c r="E560" s="31">
        <v>0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3">
        <v>6</v>
      </c>
      <c r="L560" s="31">
        <v>13489818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0</v>
      </c>
      <c r="AD560" s="31">
        <v>136205.99</v>
      </c>
      <c r="AE560" s="31">
        <v>0</v>
      </c>
      <c r="AF560" s="34">
        <v>2021</v>
      </c>
      <c r="AG560" s="34">
        <v>2021</v>
      </c>
      <c r="AH560" s="35" t="s">
        <v>274</v>
      </c>
      <c r="BZ560" s="71"/>
      <c r="CD560" s="20" t="e">
        <f t="shared" si="115"/>
        <v>#N/A</v>
      </c>
    </row>
    <row r="561" spans="1:82" ht="61.5" x14ac:dyDescent="0.85">
      <c r="A561" s="20">
        <v>1</v>
      </c>
      <c r="B561" s="66">
        <f>SUBTOTAL(103,$A$552:A561)</f>
        <v>10</v>
      </c>
      <c r="C561" s="24" t="s">
        <v>547</v>
      </c>
      <c r="D561" s="31">
        <f t="shared" si="122"/>
        <v>2570383.31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3">
        <v>0</v>
      </c>
      <c r="L561" s="31">
        <v>0</v>
      </c>
      <c r="M561" s="31">
        <v>520</v>
      </c>
      <c r="N561" s="31">
        <v>2433875.1800000002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36508.129999999997</v>
      </c>
      <c r="AD561" s="31">
        <v>100000</v>
      </c>
      <c r="AE561" s="31">
        <v>0</v>
      </c>
      <c r="AF561" s="34">
        <v>2021</v>
      </c>
      <c r="AG561" s="34">
        <v>2021</v>
      </c>
      <c r="AH561" s="35">
        <v>2021</v>
      </c>
      <c r="AT561" s="20" t="e">
        <f t="shared" ref="AT561:AT572" si="123">VLOOKUP(C561,AW:AX,2,FALSE)</f>
        <v>#N/A</v>
      </c>
      <c r="BZ561" s="71"/>
      <c r="CD561" s="20" t="e">
        <f t="shared" si="115"/>
        <v>#N/A</v>
      </c>
    </row>
    <row r="562" spans="1:82" ht="61.5" x14ac:dyDescent="0.85">
      <c r="A562" s="20">
        <v>1</v>
      </c>
      <c r="B562" s="66">
        <f>SUBTOTAL(103,$A$552:A562)</f>
        <v>11</v>
      </c>
      <c r="C562" s="24" t="s">
        <v>548</v>
      </c>
      <c r="D562" s="31">
        <f t="shared" si="122"/>
        <v>4554037.87</v>
      </c>
      <c r="E562" s="31">
        <v>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3">
        <v>0</v>
      </c>
      <c r="L562" s="31">
        <v>0</v>
      </c>
      <c r="M562" s="31">
        <v>925.13</v>
      </c>
      <c r="N562" s="31">
        <v>4388214.6500000004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65823.22</v>
      </c>
      <c r="AD562" s="31">
        <v>100000</v>
      </c>
      <c r="AE562" s="31">
        <v>0</v>
      </c>
      <c r="AF562" s="34">
        <v>2021</v>
      </c>
      <c r="AG562" s="34">
        <v>2021</v>
      </c>
      <c r="AH562" s="35">
        <v>2021</v>
      </c>
      <c r="AT562" s="20" t="e">
        <f t="shared" si="123"/>
        <v>#N/A</v>
      </c>
      <c r="BZ562" s="71"/>
      <c r="CD562" s="20" t="e">
        <f t="shared" si="115"/>
        <v>#N/A</v>
      </c>
    </row>
    <row r="563" spans="1:82" ht="61.5" x14ac:dyDescent="0.85">
      <c r="A563" s="20">
        <v>1</v>
      </c>
      <c r="B563" s="66">
        <f>SUBTOTAL(103,$A$552:A563)</f>
        <v>12</v>
      </c>
      <c r="C563" s="24" t="s">
        <v>549</v>
      </c>
      <c r="D563" s="31">
        <f t="shared" si="122"/>
        <v>3759019.5700000003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3">
        <v>0</v>
      </c>
      <c r="L563" s="31">
        <v>0</v>
      </c>
      <c r="M563" s="31">
        <v>760</v>
      </c>
      <c r="N563" s="31">
        <v>3604945.39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54074.18</v>
      </c>
      <c r="AD563" s="31">
        <v>100000</v>
      </c>
      <c r="AE563" s="31">
        <v>0</v>
      </c>
      <c r="AF563" s="34">
        <v>2021</v>
      </c>
      <c r="AG563" s="34">
        <v>2021</v>
      </c>
      <c r="AH563" s="35">
        <v>2021</v>
      </c>
      <c r="AT563" s="20" t="e">
        <f t="shared" si="123"/>
        <v>#N/A</v>
      </c>
      <c r="BZ563" s="71"/>
      <c r="CD563" s="20" t="e">
        <f t="shared" si="115"/>
        <v>#N/A</v>
      </c>
    </row>
    <row r="564" spans="1:82" ht="61.5" x14ac:dyDescent="0.85">
      <c r="A564" s="20">
        <v>1</v>
      </c>
      <c r="B564" s="66">
        <f>SUBTOTAL(103,$A$552:A564)</f>
        <v>13</v>
      </c>
      <c r="C564" s="24" t="s">
        <v>550</v>
      </c>
      <c r="D564" s="31">
        <f t="shared" si="122"/>
        <v>2589386.2599999998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3">
        <v>0</v>
      </c>
      <c r="L564" s="31">
        <v>0</v>
      </c>
      <c r="M564" s="31">
        <v>524</v>
      </c>
      <c r="N564" s="31">
        <v>2452597.2999999998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36788.959999999999</v>
      </c>
      <c r="AD564" s="31">
        <v>100000</v>
      </c>
      <c r="AE564" s="31">
        <v>0</v>
      </c>
      <c r="AF564" s="34">
        <v>2021</v>
      </c>
      <c r="AG564" s="34">
        <v>2021</v>
      </c>
      <c r="AH564" s="35">
        <v>2021</v>
      </c>
      <c r="AT564" s="20" t="e">
        <f t="shared" si="123"/>
        <v>#N/A</v>
      </c>
      <c r="BZ564" s="71"/>
      <c r="CD564" s="20" t="e">
        <f t="shared" si="115"/>
        <v>#N/A</v>
      </c>
    </row>
    <row r="565" spans="1:82" ht="61.5" x14ac:dyDescent="0.85">
      <c r="A565" s="20">
        <v>1</v>
      </c>
      <c r="B565" s="66">
        <f>SUBTOTAL(103,$A$552:A565)</f>
        <v>14</v>
      </c>
      <c r="C565" s="24" t="s">
        <v>551</v>
      </c>
      <c r="D565" s="31">
        <f t="shared" si="122"/>
        <v>5092635.92</v>
      </c>
      <c r="E565" s="31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3">
        <v>0</v>
      </c>
      <c r="L565" s="31">
        <v>0</v>
      </c>
      <c r="M565" s="31">
        <v>1037</v>
      </c>
      <c r="N565" s="31">
        <v>4918853.12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73782.8</v>
      </c>
      <c r="AD565" s="31">
        <v>100000</v>
      </c>
      <c r="AE565" s="31">
        <v>0</v>
      </c>
      <c r="AF565" s="34">
        <v>2021</v>
      </c>
      <c r="AG565" s="34">
        <v>2021</v>
      </c>
      <c r="AH565" s="35">
        <v>2021</v>
      </c>
      <c r="AT565" s="20" t="e">
        <f t="shared" si="123"/>
        <v>#N/A</v>
      </c>
      <c r="BZ565" s="71"/>
      <c r="CD565" s="20" t="e">
        <f t="shared" si="115"/>
        <v>#N/A</v>
      </c>
    </row>
    <row r="566" spans="1:82" ht="61.5" x14ac:dyDescent="0.85">
      <c r="A566" s="20">
        <v>1</v>
      </c>
      <c r="B566" s="66">
        <f>SUBTOTAL(103,$A$552:A566)</f>
        <v>15</v>
      </c>
      <c r="C566" s="24" t="s">
        <v>552</v>
      </c>
      <c r="D566" s="31">
        <f t="shared" si="122"/>
        <v>3229425.65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3">
        <v>0</v>
      </c>
      <c r="L566" s="31">
        <v>0</v>
      </c>
      <c r="M566" s="31">
        <v>650</v>
      </c>
      <c r="N566" s="31">
        <v>3083177.98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46247.67</v>
      </c>
      <c r="AD566" s="31">
        <v>100000</v>
      </c>
      <c r="AE566" s="31">
        <v>0</v>
      </c>
      <c r="AF566" s="34">
        <v>2021</v>
      </c>
      <c r="AG566" s="34">
        <v>2021</v>
      </c>
      <c r="AH566" s="35">
        <v>2021</v>
      </c>
      <c r="AT566" s="20" t="e">
        <f t="shared" si="123"/>
        <v>#N/A</v>
      </c>
      <c r="BZ566" s="71"/>
      <c r="CD566" s="20" t="e">
        <f t="shared" si="115"/>
        <v>#N/A</v>
      </c>
    </row>
    <row r="567" spans="1:82" ht="61.5" x14ac:dyDescent="0.85">
      <c r="A567" s="20">
        <v>1</v>
      </c>
      <c r="B567" s="66">
        <f>SUBTOTAL(103,$A$552:A567)</f>
        <v>16</v>
      </c>
      <c r="C567" s="24" t="s">
        <v>553</v>
      </c>
      <c r="D567" s="31">
        <f t="shared" si="122"/>
        <v>5398710.1299999999</v>
      </c>
      <c r="E567" s="31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3">
        <v>0</v>
      </c>
      <c r="L567" s="31">
        <v>0</v>
      </c>
      <c r="M567" s="31">
        <v>1068</v>
      </c>
      <c r="N567" s="31">
        <v>5220404.07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78306.06</v>
      </c>
      <c r="AD567" s="31">
        <v>100000</v>
      </c>
      <c r="AE567" s="31">
        <v>0</v>
      </c>
      <c r="AF567" s="34">
        <v>2021</v>
      </c>
      <c r="AG567" s="34">
        <v>2021</v>
      </c>
      <c r="AH567" s="35">
        <v>2021</v>
      </c>
      <c r="AT567" s="20" t="e">
        <f t="shared" si="123"/>
        <v>#N/A</v>
      </c>
      <c r="BZ567" s="71"/>
      <c r="CD567" s="20" t="e">
        <f t="shared" si="115"/>
        <v>#N/A</v>
      </c>
    </row>
    <row r="568" spans="1:82" ht="61.5" x14ac:dyDescent="0.85">
      <c r="A568" s="20">
        <v>1</v>
      </c>
      <c r="B568" s="66">
        <f>SUBTOTAL(103,$A$552:A568)</f>
        <v>17</v>
      </c>
      <c r="C568" s="24" t="s">
        <v>554</v>
      </c>
      <c r="D568" s="31">
        <f t="shared" si="122"/>
        <v>5145091.9399999995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3">
        <v>0</v>
      </c>
      <c r="L568" s="31">
        <v>0</v>
      </c>
      <c r="M568" s="31">
        <v>1062</v>
      </c>
      <c r="N568" s="31">
        <v>4970533.93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74558.009999999995</v>
      </c>
      <c r="AD568" s="31">
        <v>100000</v>
      </c>
      <c r="AE568" s="31">
        <v>0</v>
      </c>
      <c r="AF568" s="34">
        <v>2021</v>
      </c>
      <c r="AG568" s="34">
        <v>2021</v>
      </c>
      <c r="AH568" s="35">
        <v>2021</v>
      </c>
      <c r="AT568" s="20" t="e">
        <f t="shared" si="123"/>
        <v>#N/A</v>
      </c>
      <c r="BZ568" s="71"/>
      <c r="CD568" s="20" t="e">
        <f t="shared" si="115"/>
        <v>#N/A</v>
      </c>
    </row>
    <row r="569" spans="1:82" ht="61.5" x14ac:dyDescent="0.85">
      <c r="A569" s="20">
        <v>1</v>
      </c>
      <c r="B569" s="66">
        <f>SUBTOTAL(103,$A$552:A569)</f>
        <v>18</v>
      </c>
      <c r="C569" s="24" t="s">
        <v>555</v>
      </c>
      <c r="D569" s="31">
        <f t="shared" si="122"/>
        <v>4517275.3499999996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3">
        <v>0</v>
      </c>
      <c r="L569" s="31">
        <v>0</v>
      </c>
      <c r="M569" s="31">
        <v>980</v>
      </c>
      <c r="N569" s="31">
        <v>4351995.42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65279.93</v>
      </c>
      <c r="AD569" s="31">
        <v>100000</v>
      </c>
      <c r="AE569" s="31">
        <v>0</v>
      </c>
      <c r="AF569" s="34">
        <v>2021</v>
      </c>
      <c r="AG569" s="34">
        <v>2021</v>
      </c>
      <c r="AH569" s="35">
        <v>2021</v>
      </c>
      <c r="AT569" s="20" t="e">
        <f t="shared" si="123"/>
        <v>#N/A</v>
      </c>
      <c r="BZ569" s="71"/>
      <c r="CD569" s="20" t="e">
        <f t="shared" si="115"/>
        <v>#N/A</v>
      </c>
    </row>
    <row r="570" spans="1:82" ht="61.5" x14ac:dyDescent="0.85">
      <c r="A570" s="20">
        <v>1</v>
      </c>
      <c r="B570" s="66">
        <f>SUBTOTAL(103,$A$552:A570)</f>
        <v>19</v>
      </c>
      <c r="C570" s="24" t="s">
        <v>822</v>
      </c>
      <c r="D570" s="31">
        <f t="shared" si="122"/>
        <v>2739901.57</v>
      </c>
      <c r="E570" s="31">
        <v>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3">
        <v>0</v>
      </c>
      <c r="L570" s="31">
        <v>0</v>
      </c>
      <c r="M570" s="31">
        <v>635</v>
      </c>
      <c r="N570" s="31">
        <v>2600888.25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39013.32</v>
      </c>
      <c r="AD570" s="31">
        <v>100000</v>
      </c>
      <c r="AE570" s="31">
        <v>0</v>
      </c>
      <c r="AF570" s="34">
        <v>2021</v>
      </c>
      <c r="AG570" s="34">
        <v>2021</v>
      </c>
      <c r="AH570" s="35">
        <v>2021</v>
      </c>
      <c r="AT570" s="20" t="e">
        <f t="shared" si="123"/>
        <v>#N/A</v>
      </c>
      <c r="BZ570" s="71"/>
      <c r="CD570" s="20" t="e">
        <f t="shared" si="115"/>
        <v>#N/A</v>
      </c>
    </row>
    <row r="571" spans="1:82" ht="61.5" x14ac:dyDescent="0.85">
      <c r="A571" s="20">
        <v>1</v>
      </c>
      <c r="B571" s="66">
        <f>SUBTOTAL(103,$A$552:A571)</f>
        <v>20</v>
      </c>
      <c r="C571" s="24" t="s">
        <v>556</v>
      </c>
      <c r="D571" s="31">
        <f t="shared" si="122"/>
        <v>4549323.9899999993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3">
        <v>0</v>
      </c>
      <c r="L571" s="31">
        <v>0</v>
      </c>
      <c r="M571" s="31">
        <v>960</v>
      </c>
      <c r="N571" s="31">
        <v>4383570.43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65753.56</v>
      </c>
      <c r="AD571" s="31">
        <v>100000</v>
      </c>
      <c r="AE571" s="31">
        <v>0</v>
      </c>
      <c r="AF571" s="34">
        <v>2021</v>
      </c>
      <c r="AG571" s="34">
        <v>2021</v>
      </c>
      <c r="AH571" s="35">
        <v>2021</v>
      </c>
      <c r="AT571" s="20" t="e">
        <f t="shared" si="123"/>
        <v>#N/A</v>
      </c>
      <c r="BZ571" s="71"/>
      <c r="CD571" s="20" t="e">
        <f t="shared" si="115"/>
        <v>#N/A</v>
      </c>
    </row>
    <row r="572" spans="1:82" ht="61.5" x14ac:dyDescent="0.85">
      <c r="A572" s="20">
        <v>1</v>
      </c>
      <c r="B572" s="66">
        <f>SUBTOTAL(103,$A$552:A572)</f>
        <v>21</v>
      </c>
      <c r="C572" s="24" t="s">
        <v>557</v>
      </c>
      <c r="D572" s="31">
        <f t="shared" si="122"/>
        <v>3661902.1799999997</v>
      </c>
      <c r="E572" s="31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3">
        <v>0</v>
      </c>
      <c r="L572" s="31">
        <v>0</v>
      </c>
      <c r="M572" s="31">
        <v>775</v>
      </c>
      <c r="N572" s="31">
        <v>3538819.88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53082.3</v>
      </c>
      <c r="AD572" s="31">
        <v>70000</v>
      </c>
      <c r="AE572" s="31">
        <v>0</v>
      </c>
      <c r="AF572" s="34">
        <v>2021</v>
      </c>
      <c r="AG572" s="34">
        <v>2021</v>
      </c>
      <c r="AH572" s="35">
        <v>2021</v>
      </c>
      <c r="AT572" s="20" t="e">
        <f t="shared" si="123"/>
        <v>#N/A</v>
      </c>
      <c r="BZ572" s="71"/>
      <c r="CD572" s="20" t="e">
        <f t="shared" si="115"/>
        <v>#N/A</v>
      </c>
    </row>
    <row r="573" spans="1:82" ht="61.5" x14ac:dyDescent="0.85">
      <c r="A573" s="20">
        <v>1</v>
      </c>
      <c r="B573" s="66">
        <f>SUBTOTAL(103,$A$552:A573)</f>
        <v>22</v>
      </c>
      <c r="C573" s="24" t="s">
        <v>1428</v>
      </c>
      <c r="D573" s="31">
        <f t="shared" si="122"/>
        <v>5911583.5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3">
        <v>0</v>
      </c>
      <c r="L573" s="31">
        <v>0</v>
      </c>
      <c r="M573" s="31">
        <v>1207.0999999999999</v>
      </c>
      <c r="N573" s="31">
        <v>5725698.0300000003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85885.47</v>
      </c>
      <c r="AD573" s="31">
        <v>100000</v>
      </c>
      <c r="AE573" s="31">
        <v>0</v>
      </c>
      <c r="AF573" s="34">
        <v>2021</v>
      </c>
      <c r="AG573" s="34">
        <v>2021</v>
      </c>
      <c r="AH573" s="35">
        <v>2021</v>
      </c>
      <c r="BZ573" s="71"/>
      <c r="CD573" s="20" t="e">
        <f t="shared" si="115"/>
        <v>#N/A</v>
      </c>
    </row>
    <row r="574" spans="1:82" ht="61.5" x14ac:dyDescent="0.85">
      <c r="A574" s="20">
        <v>1</v>
      </c>
      <c r="B574" s="66">
        <f>SUBTOTAL(103,$A$552:A574)</f>
        <v>23</v>
      </c>
      <c r="C574" s="24" t="s">
        <v>558</v>
      </c>
      <c r="D574" s="31">
        <f t="shared" si="122"/>
        <v>2178360.59</v>
      </c>
      <c r="E574" s="31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3">
        <v>1</v>
      </c>
      <c r="L574" s="31">
        <v>2079444.67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0</v>
      </c>
      <c r="AD574" s="31">
        <v>98915.92</v>
      </c>
      <c r="AE574" s="31">
        <v>0</v>
      </c>
      <c r="AF574" s="34">
        <v>2021</v>
      </c>
      <c r="AG574" s="34">
        <v>2021</v>
      </c>
      <c r="AH574" s="35" t="s">
        <v>274</v>
      </c>
      <c r="AT574" s="20" t="e">
        <f t="shared" ref="AT574:AT584" si="124">VLOOKUP(C574,AW:AX,2,FALSE)</f>
        <v>#N/A</v>
      </c>
      <c r="BZ574" s="71"/>
      <c r="CD574" s="20" t="e">
        <f t="shared" si="115"/>
        <v>#N/A</v>
      </c>
    </row>
    <row r="575" spans="1:82" ht="61.5" x14ac:dyDescent="0.85">
      <c r="A575" s="20">
        <v>1</v>
      </c>
      <c r="B575" s="66">
        <f>SUBTOTAL(103,$A$552:A575)</f>
        <v>24</v>
      </c>
      <c r="C575" s="24" t="s">
        <v>823</v>
      </c>
      <c r="D575" s="31">
        <f t="shared" si="122"/>
        <v>3110127.71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3">
        <v>0</v>
      </c>
      <c r="L575" s="31">
        <v>0</v>
      </c>
      <c r="M575" s="31">
        <v>700</v>
      </c>
      <c r="N575" s="31">
        <v>2867120.9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43006.81</v>
      </c>
      <c r="AD575" s="31">
        <v>200000</v>
      </c>
      <c r="AE575" s="31">
        <v>0</v>
      </c>
      <c r="AF575" s="34">
        <v>2021</v>
      </c>
      <c r="AG575" s="34">
        <v>2021</v>
      </c>
      <c r="AH575" s="35">
        <v>2021</v>
      </c>
      <c r="AT575" s="20" t="e">
        <f t="shared" si="124"/>
        <v>#N/A</v>
      </c>
      <c r="BZ575" s="71"/>
      <c r="CD575" s="20" t="e">
        <f t="shared" si="115"/>
        <v>#N/A</v>
      </c>
    </row>
    <row r="576" spans="1:82" ht="61.5" x14ac:dyDescent="0.85">
      <c r="A576" s="20">
        <v>1</v>
      </c>
      <c r="B576" s="66">
        <f>SUBTOTAL(103,$A$552:A576)</f>
        <v>25</v>
      </c>
      <c r="C576" s="24" t="s">
        <v>559</v>
      </c>
      <c r="D576" s="31">
        <f t="shared" si="122"/>
        <v>1126135.8999999999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3">
        <v>0</v>
      </c>
      <c r="L576" s="31">
        <v>0</v>
      </c>
      <c r="M576" s="31">
        <v>210</v>
      </c>
      <c r="N576" s="31">
        <v>996103.33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14941.55</v>
      </c>
      <c r="AD576" s="31">
        <v>115091.02</v>
      </c>
      <c r="AE576" s="31">
        <v>0</v>
      </c>
      <c r="AF576" s="34">
        <v>2021</v>
      </c>
      <c r="AG576" s="34">
        <v>2021</v>
      </c>
      <c r="AH576" s="35">
        <v>2021</v>
      </c>
      <c r="AT576" s="20" t="e">
        <f t="shared" si="124"/>
        <v>#N/A</v>
      </c>
      <c r="BZ576" s="71"/>
      <c r="CD576" s="20" t="e">
        <f t="shared" si="115"/>
        <v>#N/A</v>
      </c>
    </row>
    <row r="577" spans="1:82" ht="61.5" x14ac:dyDescent="0.85">
      <c r="A577" s="20">
        <v>1</v>
      </c>
      <c r="B577" s="66">
        <f>SUBTOTAL(103,$A$552:A577)</f>
        <v>26</v>
      </c>
      <c r="C577" s="24" t="s">
        <v>560</v>
      </c>
      <c r="D577" s="31">
        <f t="shared" si="122"/>
        <v>4057359.23</v>
      </c>
      <c r="E577" s="31">
        <v>0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3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940.98</v>
      </c>
      <c r="R577" s="31">
        <v>3849615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57744.23</v>
      </c>
      <c r="AD577" s="31">
        <v>150000</v>
      </c>
      <c r="AE577" s="31">
        <v>0</v>
      </c>
      <c r="AF577" s="34">
        <v>2021</v>
      </c>
      <c r="AG577" s="34">
        <v>2021</v>
      </c>
      <c r="AH577" s="35">
        <v>2021</v>
      </c>
      <c r="AT577" s="20" t="e">
        <f t="shared" si="124"/>
        <v>#N/A</v>
      </c>
      <c r="BZ577" s="71"/>
      <c r="CD577" s="20" t="e">
        <f t="shared" si="115"/>
        <v>#N/A</v>
      </c>
    </row>
    <row r="578" spans="1:82" ht="61.5" x14ac:dyDescent="0.85">
      <c r="A578" s="20">
        <v>1</v>
      </c>
      <c r="B578" s="66">
        <f>SUBTOTAL(103,$A$552:A578)</f>
        <v>27</v>
      </c>
      <c r="C578" s="24" t="s">
        <v>561</v>
      </c>
      <c r="D578" s="31">
        <f t="shared" si="122"/>
        <v>2760412.39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3">
        <v>0</v>
      </c>
      <c r="L578" s="31">
        <v>0</v>
      </c>
      <c r="M578" s="31">
        <v>560</v>
      </c>
      <c r="N578" s="31">
        <v>2621095.9500000002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39316.44</v>
      </c>
      <c r="AD578" s="31">
        <v>100000</v>
      </c>
      <c r="AE578" s="31">
        <v>0</v>
      </c>
      <c r="AF578" s="34">
        <v>2021</v>
      </c>
      <c r="AG578" s="34">
        <v>2021</v>
      </c>
      <c r="AH578" s="35">
        <v>2021</v>
      </c>
      <c r="AT578" s="20" t="e">
        <f t="shared" si="124"/>
        <v>#N/A</v>
      </c>
      <c r="BZ578" s="71"/>
      <c r="CD578" s="20" t="e">
        <f t="shared" si="115"/>
        <v>#N/A</v>
      </c>
    </row>
    <row r="579" spans="1:82" ht="61.5" x14ac:dyDescent="0.85">
      <c r="A579" s="20">
        <v>1</v>
      </c>
      <c r="B579" s="66">
        <f>SUBTOTAL(103,$A$552:A579)</f>
        <v>28</v>
      </c>
      <c r="C579" s="24" t="s">
        <v>825</v>
      </c>
      <c r="D579" s="31">
        <f t="shared" si="122"/>
        <v>5592560.8499999996</v>
      </c>
      <c r="E579" s="31">
        <v>0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3">
        <v>0</v>
      </c>
      <c r="L579" s="31">
        <v>0</v>
      </c>
      <c r="M579" s="31">
        <v>1391</v>
      </c>
      <c r="N579" s="31">
        <v>5411390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81170.850000000006</v>
      </c>
      <c r="AD579" s="31">
        <v>100000</v>
      </c>
      <c r="AE579" s="31">
        <v>0</v>
      </c>
      <c r="AF579" s="34">
        <v>2021</v>
      </c>
      <c r="AG579" s="34">
        <v>2021</v>
      </c>
      <c r="AH579" s="35">
        <v>2021</v>
      </c>
      <c r="AT579" s="20" t="e">
        <f t="shared" si="124"/>
        <v>#N/A</v>
      </c>
      <c r="BZ579" s="71"/>
      <c r="CD579" s="20" t="e">
        <f t="shared" si="115"/>
        <v>#N/A</v>
      </c>
    </row>
    <row r="580" spans="1:82" ht="61.5" x14ac:dyDescent="0.85">
      <c r="A580" s="20">
        <v>1</v>
      </c>
      <c r="B580" s="66">
        <f>SUBTOTAL(103,$A$552:A580)</f>
        <v>29</v>
      </c>
      <c r="C580" s="24" t="s">
        <v>562</v>
      </c>
      <c r="D580" s="31">
        <f t="shared" si="122"/>
        <v>4005106.45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3">
        <v>0</v>
      </c>
      <c r="L580" s="31">
        <v>0</v>
      </c>
      <c r="M580" s="31">
        <v>822</v>
      </c>
      <c r="N580" s="31">
        <v>3847395.52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57710.93</v>
      </c>
      <c r="AD580" s="31">
        <v>100000</v>
      </c>
      <c r="AE580" s="31">
        <v>0</v>
      </c>
      <c r="AF580" s="34">
        <v>2021</v>
      </c>
      <c r="AG580" s="34">
        <v>2021</v>
      </c>
      <c r="AH580" s="35">
        <v>2021</v>
      </c>
      <c r="AT580" s="20" t="e">
        <f t="shared" si="124"/>
        <v>#N/A</v>
      </c>
      <c r="BZ580" s="71"/>
      <c r="CD580" s="20" t="e">
        <f t="shared" si="115"/>
        <v>#N/A</v>
      </c>
    </row>
    <row r="581" spans="1:82" ht="61.5" x14ac:dyDescent="0.85">
      <c r="A581" s="20">
        <v>1</v>
      </c>
      <c r="B581" s="66">
        <f>SUBTOTAL(103,$A$552:A581)</f>
        <v>30</v>
      </c>
      <c r="C581" s="24" t="s">
        <v>563</v>
      </c>
      <c r="D581" s="31">
        <f t="shared" si="122"/>
        <v>4412836.3</v>
      </c>
      <c r="E581" s="31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3">
        <v>0</v>
      </c>
      <c r="L581" s="31">
        <v>0</v>
      </c>
      <c r="M581" s="31">
        <v>897.3</v>
      </c>
      <c r="N581" s="31">
        <v>4199838.72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62997.58</v>
      </c>
      <c r="AD581" s="31">
        <v>150000</v>
      </c>
      <c r="AE581" s="31">
        <v>0</v>
      </c>
      <c r="AF581" s="34">
        <v>2021</v>
      </c>
      <c r="AG581" s="34">
        <v>2021</v>
      </c>
      <c r="AH581" s="35">
        <v>2021</v>
      </c>
      <c r="AT581" s="20" t="e">
        <f t="shared" si="124"/>
        <v>#N/A</v>
      </c>
      <c r="BZ581" s="71"/>
      <c r="CD581" s="20" t="e">
        <f t="shared" si="115"/>
        <v>#N/A</v>
      </c>
    </row>
    <row r="582" spans="1:82" ht="61.5" x14ac:dyDescent="0.85">
      <c r="A582" s="20">
        <v>1</v>
      </c>
      <c r="B582" s="66">
        <f>SUBTOTAL(103,$A$552:A582)</f>
        <v>31</v>
      </c>
      <c r="C582" s="24" t="s">
        <v>564</v>
      </c>
      <c r="D582" s="31">
        <f t="shared" si="122"/>
        <v>4448638.5999999996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3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1047.25</v>
      </c>
      <c r="R582" s="31">
        <v>4284373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64265.599999999999</v>
      </c>
      <c r="AD582" s="31">
        <v>100000</v>
      </c>
      <c r="AE582" s="31">
        <v>0</v>
      </c>
      <c r="AF582" s="34">
        <v>2021</v>
      </c>
      <c r="AG582" s="34">
        <v>2021</v>
      </c>
      <c r="AH582" s="35">
        <v>2021</v>
      </c>
      <c r="AT582" s="20" t="e">
        <f t="shared" si="124"/>
        <v>#N/A</v>
      </c>
      <c r="BZ582" s="71"/>
      <c r="CD582" s="20" t="e">
        <f t="shared" si="115"/>
        <v>#N/A</v>
      </c>
    </row>
    <row r="583" spans="1:82" ht="61.5" x14ac:dyDescent="0.85">
      <c r="A583" s="20">
        <v>1</v>
      </c>
      <c r="B583" s="66">
        <f>SUBTOTAL(103,$A$552:A583)</f>
        <v>32</v>
      </c>
      <c r="C583" s="24" t="s">
        <v>1675</v>
      </c>
      <c r="D583" s="31">
        <f t="shared" si="122"/>
        <v>2397304.5699999998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3">
        <v>0</v>
      </c>
      <c r="L583" s="31">
        <v>0</v>
      </c>
      <c r="M583" s="31">
        <v>485</v>
      </c>
      <c r="N583" s="31">
        <v>2263354.2599999998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33950.31</v>
      </c>
      <c r="AD583" s="31">
        <v>100000</v>
      </c>
      <c r="AE583" s="31">
        <v>0</v>
      </c>
      <c r="AF583" s="34">
        <v>2021</v>
      </c>
      <c r="AG583" s="34">
        <v>2021</v>
      </c>
      <c r="AH583" s="35">
        <v>2021</v>
      </c>
      <c r="AT583" s="20" t="e">
        <f t="shared" si="124"/>
        <v>#N/A</v>
      </c>
      <c r="BZ583" s="71"/>
      <c r="CD583" s="20" t="e">
        <f t="shared" si="115"/>
        <v>#N/A</v>
      </c>
    </row>
    <row r="584" spans="1:82" ht="61.5" x14ac:dyDescent="0.85">
      <c r="A584" s="20">
        <v>1</v>
      </c>
      <c r="B584" s="66">
        <f>SUBTOTAL(103,$A$552:A584)</f>
        <v>33</v>
      </c>
      <c r="C584" s="24" t="s">
        <v>565</v>
      </c>
      <c r="D584" s="31">
        <f t="shared" si="122"/>
        <v>2564514.5199999996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3">
        <v>0</v>
      </c>
      <c r="L584" s="31">
        <v>0</v>
      </c>
      <c r="M584" s="31">
        <v>606</v>
      </c>
      <c r="N584" s="31">
        <v>2425477.84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36382.17</v>
      </c>
      <c r="AD584" s="31">
        <v>102654.51</v>
      </c>
      <c r="AE584" s="31">
        <v>0</v>
      </c>
      <c r="AF584" s="34">
        <v>2021</v>
      </c>
      <c r="AG584" s="34">
        <v>2021</v>
      </c>
      <c r="AH584" s="35">
        <v>2021</v>
      </c>
      <c r="AT584" s="20" t="e">
        <f t="shared" si="124"/>
        <v>#N/A</v>
      </c>
      <c r="BZ584" s="71"/>
      <c r="CD584" s="20" t="e">
        <f t="shared" si="115"/>
        <v>#N/A</v>
      </c>
    </row>
    <row r="585" spans="1:82" ht="61.5" x14ac:dyDescent="0.85">
      <c r="A585" s="20">
        <v>1</v>
      </c>
      <c r="B585" s="66">
        <f>SUBTOTAL(103,$A$552:A585)</f>
        <v>34</v>
      </c>
      <c r="C585" s="24" t="s">
        <v>1115</v>
      </c>
      <c r="D585" s="31">
        <f t="shared" si="122"/>
        <v>7818322.7199999997</v>
      </c>
      <c r="E585" s="31">
        <v>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3">
        <v>4</v>
      </c>
      <c r="L585" s="31">
        <v>7693143.0999999996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v>0</v>
      </c>
      <c r="AD585" s="31">
        <v>125179.62</v>
      </c>
      <c r="AE585" s="31">
        <v>0</v>
      </c>
      <c r="AF585" s="34">
        <v>2021</v>
      </c>
      <c r="AG585" s="34">
        <v>2021</v>
      </c>
      <c r="AH585" s="35" t="s">
        <v>274</v>
      </c>
      <c r="BZ585" s="71"/>
      <c r="CD585" s="20" t="e">
        <f t="shared" si="115"/>
        <v>#N/A</v>
      </c>
    </row>
    <row r="586" spans="1:82" ht="61.5" x14ac:dyDescent="0.85">
      <c r="A586" s="20">
        <v>1</v>
      </c>
      <c r="B586" s="66">
        <f>SUBTOTAL(103,$A$552:A586)</f>
        <v>35</v>
      </c>
      <c r="C586" s="24" t="s">
        <v>566</v>
      </c>
      <c r="D586" s="31">
        <f t="shared" si="122"/>
        <v>2176239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3">
        <v>1</v>
      </c>
      <c r="L586" s="31">
        <v>2079444.67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0</v>
      </c>
      <c r="AD586" s="31">
        <v>96794.33</v>
      </c>
      <c r="AE586" s="31">
        <v>0</v>
      </c>
      <c r="AF586" s="34">
        <v>2021</v>
      </c>
      <c r="AG586" s="34">
        <v>2021</v>
      </c>
      <c r="AH586" s="35" t="s">
        <v>274</v>
      </c>
      <c r="AT586" s="20" t="e">
        <f t="shared" ref="AT586:AT591" si="125">VLOOKUP(C586,AW:AX,2,FALSE)</f>
        <v>#N/A</v>
      </c>
      <c r="BZ586" s="71"/>
      <c r="CD586" s="20" t="e">
        <f t="shared" si="115"/>
        <v>#N/A</v>
      </c>
    </row>
    <row r="587" spans="1:82" ht="61.5" x14ac:dyDescent="0.85">
      <c r="A587" s="20">
        <v>1</v>
      </c>
      <c r="B587" s="66">
        <f>SUBTOTAL(103,$A$552:A587)</f>
        <v>36</v>
      </c>
      <c r="C587" s="24" t="s">
        <v>567</v>
      </c>
      <c r="D587" s="31">
        <f t="shared" si="122"/>
        <v>5133796.7</v>
      </c>
      <c r="E587" s="31">
        <v>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3">
        <v>0</v>
      </c>
      <c r="L587" s="31">
        <v>0</v>
      </c>
      <c r="M587" s="31">
        <v>1160</v>
      </c>
      <c r="N587" s="31">
        <v>4959405.62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74391.08</v>
      </c>
      <c r="AD587" s="31">
        <v>100000</v>
      </c>
      <c r="AE587" s="31">
        <v>0</v>
      </c>
      <c r="AF587" s="34">
        <v>2021</v>
      </c>
      <c r="AG587" s="34">
        <v>2021</v>
      </c>
      <c r="AH587" s="35">
        <v>2021</v>
      </c>
      <c r="AT587" s="20" t="e">
        <f t="shared" si="125"/>
        <v>#N/A</v>
      </c>
      <c r="BZ587" s="71"/>
      <c r="CD587" s="20" t="e">
        <f t="shared" si="115"/>
        <v>#N/A</v>
      </c>
    </row>
    <row r="588" spans="1:82" ht="61.5" x14ac:dyDescent="0.85">
      <c r="A588" s="20">
        <v>1</v>
      </c>
      <c r="B588" s="66">
        <f>SUBTOTAL(103,$A$552:A588)</f>
        <v>37</v>
      </c>
      <c r="C588" s="24" t="s">
        <v>568</v>
      </c>
      <c r="D588" s="31">
        <f t="shared" si="122"/>
        <v>2171781.17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3">
        <v>0</v>
      </c>
      <c r="L588" s="31">
        <v>0</v>
      </c>
      <c r="M588" s="31">
        <v>432.6</v>
      </c>
      <c r="N588" s="31">
        <v>2070720.36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31060.81</v>
      </c>
      <c r="AD588" s="31">
        <v>70000</v>
      </c>
      <c r="AE588" s="31">
        <v>0</v>
      </c>
      <c r="AF588" s="34">
        <v>2021</v>
      </c>
      <c r="AG588" s="34">
        <v>2021</v>
      </c>
      <c r="AH588" s="35">
        <v>2021</v>
      </c>
      <c r="AT588" s="20" t="e">
        <f t="shared" si="125"/>
        <v>#N/A</v>
      </c>
      <c r="BZ588" s="71"/>
      <c r="CD588" s="20" t="e">
        <f t="shared" si="115"/>
        <v>#N/A</v>
      </c>
    </row>
    <row r="589" spans="1:82" ht="61.5" x14ac:dyDescent="0.85">
      <c r="A589" s="20">
        <v>1</v>
      </c>
      <c r="B589" s="66">
        <f>SUBTOTAL(103,$A$552:A589)</f>
        <v>38</v>
      </c>
      <c r="C589" s="24" t="s">
        <v>569</v>
      </c>
      <c r="D589" s="31">
        <f t="shared" si="122"/>
        <v>763048.75</v>
      </c>
      <c r="E589" s="31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3">
        <v>0</v>
      </c>
      <c r="L589" s="31">
        <v>0</v>
      </c>
      <c r="M589" s="31">
        <v>185.8</v>
      </c>
      <c r="N589" s="31">
        <v>653250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9798.75</v>
      </c>
      <c r="AD589" s="31">
        <v>100000</v>
      </c>
      <c r="AE589" s="31">
        <v>0</v>
      </c>
      <c r="AF589" s="34">
        <v>2021</v>
      </c>
      <c r="AG589" s="34">
        <v>2021</v>
      </c>
      <c r="AH589" s="35">
        <v>2021</v>
      </c>
      <c r="AT589" s="20" t="e">
        <f t="shared" si="125"/>
        <v>#N/A</v>
      </c>
      <c r="BZ589" s="71"/>
      <c r="CD589" s="20" t="e">
        <f t="shared" si="115"/>
        <v>#N/A</v>
      </c>
    </row>
    <row r="590" spans="1:82" ht="61.5" x14ac:dyDescent="0.85">
      <c r="A590" s="20">
        <v>1</v>
      </c>
      <c r="B590" s="66">
        <f>SUBTOTAL(103,$A$552:A590)</f>
        <v>39</v>
      </c>
      <c r="C590" s="24" t="s">
        <v>570</v>
      </c>
      <c r="D590" s="31">
        <f t="shared" si="122"/>
        <v>2794940.58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3">
        <v>0</v>
      </c>
      <c r="L590" s="31">
        <v>0</v>
      </c>
      <c r="M590" s="31">
        <v>642</v>
      </c>
      <c r="N590" s="31">
        <v>2655113.87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39826.71</v>
      </c>
      <c r="AD590" s="31">
        <v>100000</v>
      </c>
      <c r="AE590" s="31">
        <v>0</v>
      </c>
      <c r="AF590" s="34">
        <v>2021</v>
      </c>
      <c r="AG590" s="34">
        <v>2021</v>
      </c>
      <c r="AH590" s="35">
        <v>2021</v>
      </c>
      <c r="AT590" s="20" t="e">
        <f t="shared" si="125"/>
        <v>#N/A</v>
      </c>
      <c r="BZ590" s="71"/>
      <c r="CD590" s="20" t="e">
        <f t="shared" si="115"/>
        <v>#N/A</v>
      </c>
    </row>
    <row r="591" spans="1:82" ht="61.5" x14ac:dyDescent="0.85">
      <c r="A591" s="20">
        <v>1</v>
      </c>
      <c r="B591" s="66">
        <f>SUBTOTAL(103,$A$552:A591)</f>
        <v>40</v>
      </c>
      <c r="C591" s="24" t="s">
        <v>824</v>
      </c>
      <c r="D591" s="31">
        <f t="shared" si="122"/>
        <v>1584967.92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3">
        <v>0</v>
      </c>
      <c r="L591" s="31">
        <v>0</v>
      </c>
      <c r="M591" s="31">
        <v>300</v>
      </c>
      <c r="N591" s="31">
        <v>1492579.23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0</v>
      </c>
      <c r="AC591" s="31">
        <v>22388.69</v>
      </c>
      <c r="AD591" s="31">
        <v>70000</v>
      </c>
      <c r="AE591" s="31">
        <v>0</v>
      </c>
      <c r="AF591" s="34">
        <v>2021</v>
      </c>
      <c r="AG591" s="34">
        <v>2021</v>
      </c>
      <c r="AH591" s="35">
        <v>2021</v>
      </c>
      <c r="AT591" s="20" t="e">
        <f t="shared" si="125"/>
        <v>#N/A</v>
      </c>
      <c r="BZ591" s="71"/>
      <c r="CD591" s="20" t="e">
        <f t="shared" si="115"/>
        <v>#N/A</v>
      </c>
    </row>
    <row r="592" spans="1:82" ht="61.5" x14ac:dyDescent="0.85">
      <c r="A592" s="20">
        <v>1</v>
      </c>
      <c r="B592" s="66">
        <f>SUBTOTAL(103,$A$552:A592)</f>
        <v>41</v>
      </c>
      <c r="C592" s="24" t="s">
        <v>1660</v>
      </c>
      <c r="D592" s="31">
        <f t="shared" si="122"/>
        <v>9602513.2699999996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3">
        <v>0</v>
      </c>
      <c r="L592" s="31">
        <v>0</v>
      </c>
      <c r="M592" s="31">
        <v>2300</v>
      </c>
      <c r="N592" s="31">
        <v>9362082.0399999991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140431.23000000001</v>
      </c>
      <c r="AD592" s="31">
        <v>100000</v>
      </c>
      <c r="AE592" s="31">
        <v>0</v>
      </c>
      <c r="AF592" s="34">
        <v>2021</v>
      </c>
      <c r="AG592" s="34">
        <v>2021</v>
      </c>
      <c r="AH592" s="35">
        <v>2021</v>
      </c>
      <c r="BZ592" s="71"/>
      <c r="CD592" s="20" t="e">
        <f t="shared" si="115"/>
        <v>#N/A</v>
      </c>
    </row>
    <row r="593" spans="1:82" ht="61.5" x14ac:dyDescent="0.85">
      <c r="A593" s="20">
        <v>1</v>
      </c>
      <c r="B593" s="66">
        <f>SUBTOTAL(103,$A$552:A593)</f>
        <v>42</v>
      </c>
      <c r="C593" s="24" t="s">
        <v>571</v>
      </c>
      <c r="D593" s="31">
        <f t="shared" si="122"/>
        <v>5877399.3300000001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3">
        <v>0</v>
      </c>
      <c r="L593" s="31">
        <v>0</v>
      </c>
      <c r="M593" s="31">
        <v>1200</v>
      </c>
      <c r="N593" s="31">
        <v>5692019.04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85380.29</v>
      </c>
      <c r="AD593" s="31">
        <v>100000</v>
      </c>
      <c r="AE593" s="31">
        <v>0</v>
      </c>
      <c r="AF593" s="34">
        <v>2021</v>
      </c>
      <c r="AG593" s="34">
        <v>2021</v>
      </c>
      <c r="AH593" s="35">
        <v>2021</v>
      </c>
      <c r="AT593" s="20" t="e">
        <f>VLOOKUP(C593,AW:AX,2,FALSE)</f>
        <v>#N/A</v>
      </c>
      <c r="BZ593" s="71"/>
      <c r="CD593" s="20" t="e">
        <f t="shared" si="115"/>
        <v>#N/A</v>
      </c>
    </row>
    <row r="594" spans="1:82" ht="61.5" x14ac:dyDescent="0.85">
      <c r="A594" s="20">
        <v>1</v>
      </c>
      <c r="B594" s="66">
        <f>SUBTOTAL(103,$A$552:A594)</f>
        <v>43</v>
      </c>
      <c r="C594" s="24" t="s">
        <v>572</v>
      </c>
      <c r="D594" s="31">
        <f t="shared" si="122"/>
        <v>2102735.67</v>
      </c>
      <c r="E594" s="31">
        <v>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3">
        <v>0</v>
      </c>
      <c r="L594" s="31">
        <v>0</v>
      </c>
      <c r="M594" s="31">
        <v>483</v>
      </c>
      <c r="N594" s="31">
        <v>1973138.59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29597.08</v>
      </c>
      <c r="AD594" s="31">
        <v>100000</v>
      </c>
      <c r="AE594" s="31">
        <v>0</v>
      </c>
      <c r="AF594" s="34">
        <v>2021</v>
      </c>
      <c r="AG594" s="34">
        <v>2021</v>
      </c>
      <c r="AH594" s="35">
        <v>2021</v>
      </c>
      <c r="AT594" s="20" t="e">
        <f>VLOOKUP(C594,AW:AX,2,FALSE)</f>
        <v>#N/A</v>
      </c>
      <c r="BZ594" s="71"/>
      <c r="CD594" s="20" t="e">
        <f t="shared" si="115"/>
        <v>#N/A</v>
      </c>
    </row>
    <row r="595" spans="1:82" ht="61.5" x14ac:dyDescent="0.85">
      <c r="A595" s="20">
        <v>1</v>
      </c>
      <c r="B595" s="66">
        <f>SUBTOTAL(103,$A$552:A595)</f>
        <v>44</v>
      </c>
      <c r="C595" s="24" t="s">
        <v>573</v>
      </c>
      <c r="D595" s="31">
        <f t="shared" si="122"/>
        <v>2323274.2000000002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3">
        <v>0</v>
      </c>
      <c r="L595" s="31">
        <v>0</v>
      </c>
      <c r="M595" s="31">
        <v>506.2</v>
      </c>
      <c r="N595" s="31">
        <v>2190417.9300000002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32856.269999999997</v>
      </c>
      <c r="AD595" s="31">
        <v>100000</v>
      </c>
      <c r="AE595" s="31">
        <v>0</v>
      </c>
      <c r="AF595" s="34">
        <v>2021</v>
      </c>
      <c r="AG595" s="34">
        <v>2021</v>
      </c>
      <c r="AH595" s="35">
        <v>2021</v>
      </c>
      <c r="AT595" s="20" t="e">
        <f>VLOOKUP(C595,AW:AX,2,FALSE)</f>
        <v>#N/A</v>
      </c>
      <c r="BZ595" s="71"/>
      <c r="CD595" s="20" t="e">
        <f t="shared" si="115"/>
        <v>#N/A</v>
      </c>
    </row>
    <row r="596" spans="1:82" ht="61.5" x14ac:dyDescent="0.85">
      <c r="A596" s="20">
        <v>1</v>
      </c>
      <c r="B596" s="66">
        <f>SUBTOTAL(103,$A$552:A596)</f>
        <v>45</v>
      </c>
      <c r="C596" s="24" t="s">
        <v>574</v>
      </c>
      <c r="D596" s="31">
        <f t="shared" si="122"/>
        <v>4748603.68</v>
      </c>
      <c r="E596" s="31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3">
        <v>0</v>
      </c>
      <c r="L596" s="31">
        <v>0</v>
      </c>
      <c r="M596" s="31">
        <v>960</v>
      </c>
      <c r="N596" s="31">
        <v>4579905.0999999996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68698.58</v>
      </c>
      <c r="AD596" s="31">
        <v>100000</v>
      </c>
      <c r="AE596" s="31">
        <v>0</v>
      </c>
      <c r="AF596" s="34">
        <v>2021</v>
      </c>
      <c r="AG596" s="34">
        <v>2021</v>
      </c>
      <c r="AH596" s="35">
        <v>2021</v>
      </c>
      <c r="BZ596" s="71"/>
      <c r="CD596" s="20" t="e">
        <f t="shared" si="115"/>
        <v>#N/A</v>
      </c>
    </row>
    <row r="597" spans="1:82" ht="61.5" x14ac:dyDescent="0.85">
      <c r="A597" s="20">
        <v>1</v>
      </c>
      <c r="B597" s="66">
        <f>SUBTOTAL(103,$A$552:A597)</f>
        <v>46</v>
      </c>
      <c r="C597" s="24" t="s">
        <v>575</v>
      </c>
      <c r="D597" s="31">
        <f t="shared" si="122"/>
        <v>3192730.04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3">
        <v>0</v>
      </c>
      <c r="L597" s="31">
        <v>0</v>
      </c>
      <c r="M597" s="31">
        <v>651</v>
      </c>
      <c r="N597" s="31">
        <v>3047024.67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45705.37</v>
      </c>
      <c r="AD597" s="31">
        <v>100000</v>
      </c>
      <c r="AE597" s="31">
        <v>0</v>
      </c>
      <c r="AF597" s="34">
        <v>2021</v>
      </c>
      <c r="AG597" s="34">
        <v>2021</v>
      </c>
      <c r="AH597" s="35">
        <v>2021</v>
      </c>
      <c r="AT597" s="20" t="e">
        <f>VLOOKUP(C597,AW:AX,2,FALSE)</f>
        <v>#N/A</v>
      </c>
      <c r="BZ597" s="71"/>
      <c r="CD597" s="20" t="e">
        <f t="shared" si="115"/>
        <v>#N/A</v>
      </c>
    </row>
    <row r="598" spans="1:82" ht="61.5" x14ac:dyDescent="0.85">
      <c r="A598" s="20">
        <v>1</v>
      </c>
      <c r="B598" s="66">
        <f>SUBTOTAL(103,$A$552:A598)</f>
        <v>47</v>
      </c>
      <c r="C598" s="24" t="s">
        <v>576</v>
      </c>
      <c r="D598" s="31">
        <f t="shared" si="122"/>
        <v>1265842.2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3">
        <v>0</v>
      </c>
      <c r="L598" s="31">
        <v>0</v>
      </c>
      <c r="M598" s="31">
        <v>287</v>
      </c>
      <c r="N598" s="31">
        <v>1148613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17229.2</v>
      </c>
      <c r="AD598" s="31">
        <v>100000</v>
      </c>
      <c r="AE598" s="31">
        <v>0</v>
      </c>
      <c r="AF598" s="34">
        <v>2021</v>
      </c>
      <c r="AG598" s="34">
        <v>2021</v>
      </c>
      <c r="AH598" s="35">
        <v>2021</v>
      </c>
      <c r="AT598" s="20" t="e">
        <f>VLOOKUP(C598,AW:AX,2,FALSE)</f>
        <v>#N/A</v>
      </c>
      <c r="BZ598" s="71"/>
      <c r="CD598" s="20" t="e">
        <f t="shared" ref="CD598:CD661" si="126">VLOOKUP(C598,CE:CF,2,FALSE)</f>
        <v>#N/A</v>
      </c>
    </row>
    <row r="599" spans="1:82" ht="61.5" x14ac:dyDescent="0.85">
      <c r="A599" s="20">
        <v>1</v>
      </c>
      <c r="B599" s="66">
        <f>SUBTOTAL(103,$A$552:A599)</f>
        <v>48</v>
      </c>
      <c r="C599" s="24" t="s">
        <v>577</v>
      </c>
      <c r="D599" s="31">
        <f t="shared" si="122"/>
        <v>3576070.0900000003</v>
      </c>
      <c r="E599" s="31">
        <v>0</v>
      </c>
      <c r="F599" s="31">
        <v>0</v>
      </c>
      <c r="G599" s="31">
        <v>0</v>
      </c>
      <c r="H599" s="31">
        <v>0</v>
      </c>
      <c r="I599" s="31">
        <v>0</v>
      </c>
      <c r="J599" s="31">
        <v>0</v>
      </c>
      <c r="K599" s="33">
        <v>0</v>
      </c>
      <c r="L599" s="31">
        <v>0</v>
      </c>
      <c r="M599" s="31">
        <v>722</v>
      </c>
      <c r="N599" s="31">
        <v>3424699.6</v>
      </c>
      <c r="O599" s="31">
        <v>0</v>
      </c>
      <c r="P599" s="31">
        <v>0</v>
      </c>
      <c r="Q599" s="31">
        <v>0</v>
      </c>
      <c r="R599" s="31">
        <v>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51370.49</v>
      </c>
      <c r="AD599" s="31">
        <v>100000</v>
      </c>
      <c r="AE599" s="31">
        <v>0</v>
      </c>
      <c r="AF599" s="34">
        <v>2021</v>
      </c>
      <c r="AG599" s="34">
        <v>2021</v>
      </c>
      <c r="AH599" s="35">
        <v>2021</v>
      </c>
      <c r="AT599" s="20" t="e">
        <f>VLOOKUP(C599,AW:AX,2,FALSE)</f>
        <v>#N/A</v>
      </c>
      <c r="BZ599" s="71"/>
      <c r="CD599" s="20" t="e">
        <f t="shared" si="126"/>
        <v>#N/A</v>
      </c>
    </row>
    <row r="600" spans="1:82" ht="61.5" x14ac:dyDescent="0.85">
      <c r="A600" s="20">
        <v>1</v>
      </c>
      <c r="B600" s="66">
        <f>SUBTOTAL(103,$A$552:A600)</f>
        <v>49</v>
      </c>
      <c r="C600" s="24" t="s">
        <v>578</v>
      </c>
      <c r="D600" s="31">
        <f t="shared" si="122"/>
        <v>8216874.9699999997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3">
        <v>0</v>
      </c>
      <c r="L600" s="31">
        <v>0</v>
      </c>
      <c r="M600" s="31">
        <v>1688</v>
      </c>
      <c r="N600" s="31">
        <v>8006773.3700000001</v>
      </c>
      <c r="O600" s="31">
        <v>0</v>
      </c>
      <c r="P600" s="31">
        <v>0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120101.6</v>
      </c>
      <c r="AD600" s="31">
        <v>90000</v>
      </c>
      <c r="AE600" s="31">
        <v>0</v>
      </c>
      <c r="AF600" s="34">
        <v>2021</v>
      </c>
      <c r="AG600" s="34">
        <v>2021</v>
      </c>
      <c r="AH600" s="35">
        <v>2021</v>
      </c>
      <c r="AT600" s="20" t="e">
        <f>VLOOKUP(C600,AW:AX,2,FALSE)</f>
        <v>#N/A</v>
      </c>
      <c r="BZ600" s="71"/>
      <c r="CD600" s="20" t="e">
        <f t="shared" si="126"/>
        <v>#N/A</v>
      </c>
    </row>
    <row r="601" spans="1:82" ht="61.5" x14ac:dyDescent="0.85">
      <c r="A601" s="20">
        <v>1</v>
      </c>
      <c r="B601" s="66">
        <f>SUBTOTAL(103,$A$552:A601)</f>
        <v>50</v>
      </c>
      <c r="C601" s="24" t="s">
        <v>579</v>
      </c>
      <c r="D601" s="31">
        <f t="shared" si="122"/>
        <v>5458332.7699999996</v>
      </c>
      <c r="E601" s="31">
        <v>0</v>
      </c>
      <c r="F601" s="31">
        <v>0</v>
      </c>
      <c r="G601" s="31">
        <v>0</v>
      </c>
      <c r="H601" s="31">
        <v>0</v>
      </c>
      <c r="I601" s="31">
        <v>0</v>
      </c>
      <c r="J601" s="31">
        <v>0</v>
      </c>
      <c r="K601" s="33">
        <v>0</v>
      </c>
      <c r="L601" s="31">
        <v>0</v>
      </c>
      <c r="M601" s="31">
        <v>1130</v>
      </c>
      <c r="N601" s="31">
        <v>5288997.8</v>
      </c>
      <c r="O601" s="31">
        <v>0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79334.97</v>
      </c>
      <c r="AD601" s="31">
        <v>90000</v>
      </c>
      <c r="AE601" s="31">
        <v>0</v>
      </c>
      <c r="AF601" s="34">
        <v>2021</v>
      </c>
      <c r="AG601" s="34">
        <v>2021</v>
      </c>
      <c r="AH601" s="35">
        <v>2021</v>
      </c>
      <c r="AT601" s="20" t="e">
        <f>VLOOKUP(C601,AW:AX,2,FALSE)</f>
        <v>#N/A</v>
      </c>
      <c r="BZ601" s="71"/>
      <c r="CD601" s="20" t="e">
        <f t="shared" si="126"/>
        <v>#N/A</v>
      </c>
    </row>
    <row r="602" spans="1:82" ht="61.5" x14ac:dyDescent="0.85">
      <c r="A602" s="20">
        <v>1</v>
      </c>
      <c r="B602" s="66">
        <f>SUBTOTAL(103,$A$552:A602)</f>
        <v>51</v>
      </c>
      <c r="C602" s="24" t="s">
        <v>1404</v>
      </c>
      <c r="D602" s="31">
        <f t="shared" si="122"/>
        <v>3614770.42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3">
        <v>0</v>
      </c>
      <c r="L602" s="31">
        <v>0</v>
      </c>
      <c r="M602" s="31">
        <v>756</v>
      </c>
      <c r="N602" s="31">
        <v>3462828</v>
      </c>
      <c r="O602" s="31">
        <v>0</v>
      </c>
      <c r="P602" s="31">
        <v>0</v>
      </c>
      <c r="Q602" s="31">
        <v>0</v>
      </c>
      <c r="R602" s="31">
        <v>0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51942.42</v>
      </c>
      <c r="AD602" s="31">
        <v>100000</v>
      </c>
      <c r="AE602" s="31">
        <v>0</v>
      </c>
      <c r="AF602" s="34">
        <v>2021</v>
      </c>
      <c r="AG602" s="34">
        <v>2021</v>
      </c>
      <c r="AH602" s="35">
        <v>2021</v>
      </c>
      <c r="BZ602" s="71"/>
      <c r="CD602" s="20" t="e">
        <f t="shared" si="126"/>
        <v>#N/A</v>
      </c>
    </row>
    <row r="603" spans="1:82" ht="61.5" x14ac:dyDescent="0.85">
      <c r="A603" s="20">
        <v>1</v>
      </c>
      <c r="B603" s="66">
        <f>SUBTOTAL(103,$A$552:A603)</f>
        <v>52</v>
      </c>
      <c r="C603" s="24" t="s">
        <v>1405</v>
      </c>
      <c r="D603" s="31">
        <f t="shared" si="122"/>
        <v>3214943.65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3">
        <v>0</v>
      </c>
      <c r="L603" s="31">
        <v>0</v>
      </c>
      <c r="M603" s="31">
        <v>670</v>
      </c>
      <c r="N603" s="31">
        <v>3068910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46033.65</v>
      </c>
      <c r="AD603" s="31">
        <v>100000</v>
      </c>
      <c r="AE603" s="31">
        <v>0</v>
      </c>
      <c r="AF603" s="34">
        <v>2021</v>
      </c>
      <c r="AG603" s="34">
        <v>2021</v>
      </c>
      <c r="AH603" s="35">
        <v>2021</v>
      </c>
      <c r="BZ603" s="71"/>
      <c r="CD603" s="20" t="e">
        <f t="shared" si="126"/>
        <v>#N/A</v>
      </c>
    </row>
    <row r="604" spans="1:82" ht="61.5" x14ac:dyDescent="0.85">
      <c r="A604" s="20">
        <v>1</v>
      </c>
      <c r="B604" s="66">
        <f>SUBTOTAL(103,$A$552:A604)</f>
        <v>53</v>
      </c>
      <c r="C604" s="24" t="s">
        <v>1406</v>
      </c>
      <c r="D604" s="31">
        <f t="shared" si="122"/>
        <v>1335035.1000000001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3">
        <v>0</v>
      </c>
      <c r="L604" s="31">
        <v>0</v>
      </c>
      <c r="M604" s="31">
        <v>272.05</v>
      </c>
      <c r="N604" s="31">
        <v>1246340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31">
        <v>0</v>
      </c>
      <c r="AB604" s="31">
        <v>0</v>
      </c>
      <c r="AC604" s="31">
        <v>18695.099999999999</v>
      </c>
      <c r="AD604" s="31">
        <v>70000</v>
      </c>
      <c r="AE604" s="31">
        <v>0</v>
      </c>
      <c r="AF604" s="34">
        <v>2021</v>
      </c>
      <c r="AG604" s="34">
        <v>2021</v>
      </c>
      <c r="AH604" s="35">
        <v>2021</v>
      </c>
      <c r="BZ604" s="71"/>
      <c r="CD604" s="20" t="e">
        <f t="shared" si="126"/>
        <v>#N/A</v>
      </c>
    </row>
    <row r="605" spans="1:82" ht="61.5" x14ac:dyDescent="0.85">
      <c r="A605" s="20">
        <v>1</v>
      </c>
      <c r="B605" s="66">
        <f>SUBTOTAL(103,$A$552:A605)</f>
        <v>54</v>
      </c>
      <c r="C605" s="24" t="s">
        <v>1407</v>
      </c>
      <c r="D605" s="31">
        <f t="shared" si="122"/>
        <v>4219164.3499999996</v>
      </c>
      <c r="E605" s="31">
        <v>0</v>
      </c>
      <c r="F605" s="31">
        <v>0</v>
      </c>
      <c r="G605" s="31">
        <v>0</v>
      </c>
      <c r="H605" s="31">
        <v>0</v>
      </c>
      <c r="I605" s="31">
        <v>0</v>
      </c>
      <c r="J605" s="31">
        <v>0</v>
      </c>
      <c r="K605" s="33">
        <v>0</v>
      </c>
      <c r="L605" s="31">
        <v>0</v>
      </c>
      <c r="M605" s="31">
        <v>886</v>
      </c>
      <c r="N605" s="31">
        <v>4058290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60874.35</v>
      </c>
      <c r="AD605" s="31">
        <v>100000</v>
      </c>
      <c r="AE605" s="31">
        <v>0</v>
      </c>
      <c r="AF605" s="34">
        <v>2021</v>
      </c>
      <c r="AG605" s="34">
        <v>2021</v>
      </c>
      <c r="AH605" s="35">
        <v>2021</v>
      </c>
      <c r="BZ605" s="71"/>
      <c r="CD605" s="20" t="e">
        <f t="shared" si="126"/>
        <v>#N/A</v>
      </c>
    </row>
    <row r="606" spans="1:82" ht="61.5" x14ac:dyDescent="0.85">
      <c r="A606" s="20">
        <v>1</v>
      </c>
      <c r="B606" s="66">
        <f>SUBTOTAL(103,$A$552:A606)</f>
        <v>55</v>
      </c>
      <c r="C606" s="24" t="s">
        <v>1408</v>
      </c>
      <c r="D606" s="31">
        <f t="shared" si="122"/>
        <v>3028742.06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3">
        <v>0</v>
      </c>
      <c r="L606" s="31">
        <v>0</v>
      </c>
      <c r="M606" s="31">
        <v>630</v>
      </c>
      <c r="N606" s="31">
        <v>2885460.19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43281.87</v>
      </c>
      <c r="AD606" s="31">
        <v>100000</v>
      </c>
      <c r="AE606" s="31">
        <v>0</v>
      </c>
      <c r="AF606" s="34">
        <v>2021</v>
      </c>
      <c r="AG606" s="34">
        <v>2021</v>
      </c>
      <c r="AH606" s="35">
        <v>2021</v>
      </c>
      <c r="BZ606" s="71"/>
      <c r="CD606" s="20" t="e">
        <f t="shared" si="126"/>
        <v>#N/A</v>
      </c>
    </row>
    <row r="607" spans="1:82" ht="61.5" x14ac:dyDescent="0.85">
      <c r="A607" s="20">
        <v>1</v>
      </c>
      <c r="B607" s="66">
        <f>SUBTOTAL(103,$A$552:A607)</f>
        <v>56</v>
      </c>
      <c r="C607" s="24" t="s">
        <v>496</v>
      </c>
      <c r="D607" s="31">
        <f t="shared" si="122"/>
        <v>3923557.16</v>
      </c>
      <c r="E607" s="31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3">
        <v>0</v>
      </c>
      <c r="L607" s="31">
        <v>0</v>
      </c>
      <c r="M607" s="31">
        <v>1089.5999999999999</v>
      </c>
      <c r="N607" s="31">
        <v>3767051.39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56505.77</v>
      </c>
      <c r="AD607" s="31">
        <v>100000</v>
      </c>
      <c r="AE607" s="31">
        <v>0</v>
      </c>
      <c r="AF607" s="34">
        <v>2021</v>
      </c>
      <c r="AG607" s="34">
        <v>2021</v>
      </c>
      <c r="AH607" s="35">
        <v>2021</v>
      </c>
      <c r="BZ607" s="71"/>
      <c r="CD607" s="20" t="e">
        <f t="shared" si="126"/>
        <v>#N/A</v>
      </c>
    </row>
    <row r="608" spans="1:82" ht="61.5" x14ac:dyDescent="0.85">
      <c r="A608" s="20">
        <v>1</v>
      </c>
      <c r="B608" s="66">
        <f>SUBTOTAL(103,$A$552:A608)</f>
        <v>57</v>
      </c>
      <c r="C608" s="24" t="s">
        <v>510</v>
      </c>
      <c r="D608" s="31">
        <f t="shared" si="122"/>
        <v>6662526.4900000002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3">
        <v>0</v>
      </c>
      <c r="L608" s="31">
        <v>0</v>
      </c>
      <c r="M608" s="31">
        <v>0</v>
      </c>
      <c r="N608" s="31">
        <v>0</v>
      </c>
      <c r="O608" s="31">
        <v>0</v>
      </c>
      <c r="P608" s="31">
        <v>0</v>
      </c>
      <c r="Q608" s="31">
        <v>2002</v>
      </c>
      <c r="R608" s="31">
        <v>6445838.9100000001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96687.58</v>
      </c>
      <c r="AD608" s="31">
        <v>120000</v>
      </c>
      <c r="AE608" s="31">
        <v>0</v>
      </c>
      <c r="AF608" s="34">
        <v>2021</v>
      </c>
      <c r="AG608" s="34">
        <v>2021</v>
      </c>
      <c r="AH608" s="35">
        <v>2021</v>
      </c>
      <c r="BZ608" s="71"/>
      <c r="CD608" s="20" t="e">
        <f t="shared" si="126"/>
        <v>#N/A</v>
      </c>
    </row>
    <row r="609" spans="1:82" ht="61.5" x14ac:dyDescent="0.85">
      <c r="A609" s="20">
        <v>1</v>
      </c>
      <c r="B609" s="66">
        <f>SUBTOTAL(103,$A$552:A609)</f>
        <v>58</v>
      </c>
      <c r="C609" s="24" t="s">
        <v>1093</v>
      </c>
      <c r="D609" s="31">
        <f t="shared" si="122"/>
        <v>3068875</v>
      </c>
      <c r="E609" s="31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3">
        <v>0</v>
      </c>
      <c r="L609" s="31">
        <v>0</v>
      </c>
      <c r="M609" s="31">
        <v>0</v>
      </c>
      <c r="N609" s="31">
        <v>0</v>
      </c>
      <c r="O609" s="31">
        <v>0</v>
      </c>
      <c r="P609" s="31">
        <v>0</v>
      </c>
      <c r="Q609" s="31">
        <v>860</v>
      </c>
      <c r="R609" s="31">
        <v>2925000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43875</v>
      </c>
      <c r="AD609" s="31">
        <v>100000</v>
      </c>
      <c r="AE609" s="31">
        <v>0</v>
      </c>
      <c r="AF609" s="34">
        <v>2021</v>
      </c>
      <c r="AG609" s="34">
        <v>2021</v>
      </c>
      <c r="AH609" s="35">
        <v>2021</v>
      </c>
      <c r="BZ609" s="71"/>
      <c r="CD609" s="20" t="e">
        <f t="shared" si="126"/>
        <v>#N/A</v>
      </c>
    </row>
    <row r="610" spans="1:82" ht="61.5" x14ac:dyDescent="0.85">
      <c r="A610" s="20">
        <v>1</v>
      </c>
      <c r="B610" s="66">
        <f>SUBTOTAL(103,$A$552:A610)</f>
        <v>59</v>
      </c>
      <c r="C610" s="24" t="s">
        <v>1427</v>
      </c>
      <c r="D610" s="31">
        <f t="shared" si="122"/>
        <v>3884747.5999999996</v>
      </c>
      <c r="E610" s="31">
        <v>0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3">
        <v>0</v>
      </c>
      <c r="L610" s="31">
        <v>0</v>
      </c>
      <c r="M610" s="31">
        <v>831.1</v>
      </c>
      <c r="N610" s="31">
        <v>3738667.59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56080.01</v>
      </c>
      <c r="AD610" s="31">
        <v>90000</v>
      </c>
      <c r="AE610" s="31">
        <v>0</v>
      </c>
      <c r="AF610" s="34">
        <v>2021</v>
      </c>
      <c r="AG610" s="34">
        <v>2021</v>
      </c>
      <c r="AH610" s="35">
        <v>2021</v>
      </c>
      <c r="BZ610" s="71"/>
      <c r="CD610" s="20" t="e">
        <f t="shared" si="126"/>
        <v>#N/A</v>
      </c>
    </row>
    <row r="611" spans="1:82" ht="61.5" x14ac:dyDescent="0.85">
      <c r="A611" s="20">
        <v>1</v>
      </c>
      <c r="B611" s="66">
        <f>SUBTOTAL(103,$A$552:A611)</f>
        <v>60</v>
      </c>
      <c r="C611" s="24" t="s">
        <v>1400</v>
      </c>
      <c r="D611" s="31">
        <f t="shared" si="122"/>
        <v>2248303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3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554</v>
      </c>
      <c r="R611" s="31">
        <v>2146111.33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32191.67</v>
      </c>
      <c r="AD611" s="31">
        <v>70000</v>
      </c>
      <c r="AE611" s="31">
        <v>0</v>
      </c>
      <c r="AF611" s="34">
        <v>2021</v>
      </c>
      <c r="AG611" s="34">
        <v>2021</v>
      </c>
      <c r="AH611" s="35">
        <v>2021</v>
      </c>
      <c r="BZ611" s="71"/>
      <c r="CD611" s="20" t="e">
        <f t="shared" si="126"/>
        <v>#N/A</v>
      </c>
    </row>
    <row r="612" spans="1:82" ht="61.5" x14ac:dyDescent="0.85">
      <c r="A612" s="20">
        <v>1</v>
      </c>
      <c r="B612" s="66">
        <f>SUBTOTAL(103,$A$552:A612)</f>
        <v>61</v>
      </c>
      <c r="C612" s="24" t="s">
        <v>1132</v>
      </c>
      <c r="D612" s="31">
        <f t="shared" si="122"/>
        <v>2785299.21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3">
        <v>0</v>
      </c>
      <c r="L612" s="31">
        <v>0</v>
      </c>
      <c r="M612" s="31">
        <v>0</v>
      </c>
      <c r="N612" s="31">
        <v>0</v>
      </c>
      <c r="O612" s="31">
        <v>0</v>
      </c>
      <c r="P612" s="31">
        <v>0</v>
      </c>
      <c r="Q612" s="31">
        <v>1524.32</v>
      </c>
      <c r="R612" s="31">
        <v>2744339.94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31">
        <v>40959.269999999997</v>
      </c>
      <c r="AD612" s="31">
        <v>0</v>
      </c>
      <c r="AE612" s="31">
        <v>0</v>
      </c>
      <c r="AF612" s="34" t="s">
        <v>274</v>
      </c>
      <c r="AG612" s="34">
        <v>2021</v>
      </c>
      <c r="AH612" s="35">
        <v>2021</v>
      </c>
      <c r="BZ612" s="71"/>
      <c r="CD612" s="20" t="e">
        <f t="shared" si="126"/>
        <v>#N/A</v>
      </c>
    </row>
    <row r="613" spans="1:82" ht="61.5" x14ac:dyDescent="0.85">
      <c r="A613" s="20">
        <v>1</v>
      </c>
      <c r="B613" s="66">
        <f>SUBTOTAL(103,$A$552:A613)</f>
        <v>62</v>
      </c>
      <c r="C613" s="24" t="s">
        <v>1142</v>
      </c>
      <c r="D613" s="31">
        <f t="shared" si="122"/>
        <v>1338055.4100000001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3">
        <v>0</v>
      </c>
      <c r="L613" s="31">
        <v>0</v>
      </c>
      <c r="M613" s="31">
        <v>0</v>
      </c>
      <c r="N613" s="31">
        <v>0</v>
      </c>
      <c r="O613" s="31">
        <v>278</v>
      </c>
      <c r="P613" s="31">
        <v>1318378.6100000001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19676.8</v>
      </c>
      <c r="AD613" s="31">
        <v>0</v>
      </c>
      <c r="AE613" s="31">
        <v>0</v>
      </c>
      <c r="AF613" s="34" t="s">
        <v>274</v>
      </c>
      <c r="AG613" s="34">
        <v>2021</v>
      </c>
      <c r="AH613" s="35">
        <v>2021</v>
      </c>
      <c r="BZ613" s="71"/>
      <c r="CD613" s="20" t="e">
        <f t="shared" si="126"/>
        <v>#N/A</v>
      </c>
    </row>
    <row r="614" spans="1:82" ht="61.5" x14ac:dyDescent="0.85">
      <c r="A614" s="20">
        <v>1</v>
      </c>
      <c r="B614" s="66">
        <f>SUBTOTAL(103,$A$552:A614)</f>
        <v>63</v>
      </c>
      <c r="C614" s="24" t="s">
        <v>1143</v>
      </c>
      <c r="D614" s="31">
        <f t="shared" si="122"/>
        <v>221655.15999999997</v>
      </c>
      <c r="E614" s="31">
        <v>102509.44</v>
      </c>
      <c r="F614" s="31">
        <v>0</v>
      </c>
      <c r="G614" s="31">
        <v>0</v>
      </c>
      <c r="H614" s="31">
        <v>115886.17</v>
      </c>
      <c r="I614" s="31">
        <v>0</v>
      </c>
      <c r="J614" s="31">
        <v>0</v>
      </c>
      <c r="K614" s="33">
        <v>0</v>
      </c>
      <c r="L614" s="31">
        <v>0</v>
      </c>
      <c r="M614" s="31">
        <v>0</v>
      </c>
      <c r="N614" s="31">
        <v>0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3259.55</v>
      </c>
      <c r="AD614" s="31">
        <v>0</v>
      </c>
      <c r="AE614" s="31">
        <v>0</v>
      </c>
      <c r="AF614" s="34" t="s">
        <v>274</v>
      </c>
      <c r="AG614" s="34">
        <v>2021</v>
      </c>
      <c r="AH614" s="35">
        <v>2021</v>
      </c>
      <c r="BZ614" s="71"/>
      <c r="CD614" s="20" t="e">
        <f t="shared" si="126"/>
        <v>#N/A</v>
      </c>
    </row>
    <row r="615" spans="1:82" ht="61.5" x14ac:dyDescent="0.85">
      <c r="A615" s="20">
        <v>1</v>
      </c>
      <c r="B615" s="66">
        <f>SUBTOTAL(103,$A$552:A615)</f>
        <v>64</v>
      </c>
      <c r="C615" s="24" t="s">
        <v>1145</v>
      </c>
      <c r="D615" s="31">
        <f t="shared" si="122"/>
        <v>2696648.14</v>
      </c>
      <c r="E615" s="31">
        <v>0</v>
      </c>
      <c r="F615" s="31">
        <v>0</v>
      </c>
      <c r="G615" s="31">
        <v>0</v>
      </c>
      <c r="H615" s="31">
        <v>0</v>
      </c>
      <c r="I615" s="31">
        <v>0</v>
      </c>
      <c r="J615" s="31">
        <v>0</v>
      </c>
      <c r="K615" s="33">
        <v>0</v>
      </c>
      <c r="L615" s="31">
        <v>0</v>
      </c>
      <c r="M615" s="31">
        <v>453.4</v>
      </c>
      <c r="N615" s="31">
        <v>2656796.2000000002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39851.94</v>
      </c>
      <c r="AD615" s="31">
        <v>0</v>
      </c>
      <c r="AE615" s="31">
        <v>0</v>
      </c>
      <c r="AF615" s="34" t="s">
        <v>274</v>
      </c>
      <c r="AG615" s="34">
        <v>2021</v>
      </c>
      <c r="AH615" s="35">
        <v>2021</v>
      </c>
      <c r="BZ615" s="71"/>
      <c r="CD615" s="20">
        <f t="shared" si="126"/>
        <v>453.4</v>
      </c>
    </row>
    <row r="616" spans="1:82" ht="61.5" x14ac:dyDescent="0.85">
      <c r="A616" s="20">
        <v>1</v>
      </c>
      <c r="B616" s="66">
        <f>SUBTOTAL(103,$A$552:A616)</f>
        <v>65</v>
      </c>
      <c r="C616" s="24" t="s">
        <v>1146</v>
      </c>
      <c r="D616" s="31">
        <f t="shared" si="122"/>
        <v>1772415.75</v>
      </c>
      <c r="E616" s="31">
        <v>0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3">
        <v>0</v>
      </c>
      <c r="L616" s="31">
        <v>0</v>
      </c>
      <c r="M616" s="31">
        <v>523.98</v>
      </c>
      <c r="N616" s="31">
        <v>1746351.45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26064.3</v>
      </c>
      <c r="AD616" s="31">
        <v>0</v>
      </c>
      <c r="AE616" s="31">
        <v>0</v>
      </c>
      <c r="AF616" s="34" t="s">
        <v>274</v>
      </c>
      <c r="AG616" s="34">
        <v>2021</v>
      </c>
      <c r="AH616" s="35">
        <v>2021</v>
      </c>
      <c r="BZ616" s="71"/>
      <c r="CD616" s="20">
        <f t="shared" si="126"/>
        <v>523.98</v>
      </c>
    </row>
    <row r="617" spans="1:82" ht="61.5" x14ac:dyDescent="0.85">
      <c r="A617" s="20">
        <v>1</v>
      </c>
      <c r="B617" s="66">
        <f>SUBTOTAL(103,$A$552:A617)</f>
        <v>66</v>
      </c>
      <c r="C617" s="24" t="s">
        <v>1147</v>
      </c>
      <c r="D617" s="31">
        <f t="shared" si="122"/>
        <v>4516142.72</v>
      </c>
      <c r="E617" s="31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3">
        <v>0</v>
      </c>
      <c r="L617" s="31">
        <v>0</v>
      </c>
      <c r="M617" s="31">
        <v>0</v>
      </c>
      <c r="N617" s="31">
        <v>0</v>
      </c>
      <c r="O617" s="31">
        <v>0</v>
      </c>
      <c r="P617" s="31">
        <v>0</v>
      </c>
      <c r="Q617" s="31">
        <v>1389</v>
      </c>
      <c r="R617" s="31">
        <v>4331175.0999999996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64967.62</v>
      </c>
      <c r="AD617" s="31">
        <v>120000</v>
      </c>
      <c r="AE617" s="31">
        <v>0</v>
      </c>
      <c r="AF617" s="34">
        <v>2021</v>
      </c>
      <c r="AG617" s="34">
        <v>2021</v>
      </c>
      <c r="AH617" s="35">
        <v>2021</v>
      </c>
      <c r="BZ617" s="71"/>
      <c r="CD617" s="20" t="e">
        <f t="shared" si="126"/>
        <v>#N/A</v>
      </c>
    </row>
    <row r="618" spans="1:82" ht="61.5" x14ac:dyDescent="0.85">
      <c r="A618" s="20">
        <v>1</v>
      </c>
      <c r="B618" s="66">
        <f>SUBTOTAL(103,$A$552:A618)</f>
        <v>67</v>
      </c>
      <c r="C618" s="24" t="s">
        <v>1148</v>
      </c>
      <c r="D618" s="31">
        <f t="shared" si="122"/>
        <v>3246745.9499999997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3">
        <v>0</v>
      </c>
      <c r="L618" s="31">
        <v>0</v>
      </c>
      <c r="M618" s="31">
        <v>1093</v>
      </c>
      <c r="N618" s="31">
        <v>3199000.86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47745.09</v>
      </c>
      <c r="AD618" s="31">
        <v>0</v>
      </c>
      <c r="AE618" s="31">
        <v>0</v>
      </c>
      <c r="AF618" s="34" t="s">
        <v>274</v>
      </c>
      <c r="AG618" s="34">
        <v>2021</v>
      </c>
      <c r="AH618" s="35">
        <v>2021</v>
      </c>
      <c r="BZ618" s="71"/>
      <c r="CD618" s="20">
        <f t="shared" si="126"/>
        <v>1093</v>
      </c>
    </row>
    <row r="619" spans="1:82" ht="61.5" x14ac:dyDescent="0.85">
      <c r="A619" s="20">
        <v>1</v>
      </c>
      <c r="B619" s="66">
        <f>SUBTOTAL(103,$A$552:A619)</f>
        <v>68</v>
      </c>
      <c r="C619" s="24" t="s">
        <v>1159</v>
      </c>
      <c r="D619" s="31">
        <f t="shared" si="122"/>
        <v>2273804.56</v>
      </c>
      <c r="E619" s="31">
        <v>0</v>
      </c>
      <c r="F619" s="31">
        <v>0</v>
      </c>
      <c r="G619" s="31">
        <v>0</v>
      </c>
      <c r="H619" s="31">
        <v>0</v>
      </c>
      <c r="I619" s="31">
        <v>0</v>
      </c>
      <c r="J619" s="31">
        <v>0</v>
      </c>
      <c r="K619" s="33">
        <v>0</v>
      </c>
      <c r="L619" s="31">
        <v>0</v>
      </c>
      <c r="M619" s="31">
        <v>543.4</v>
      </c>
      <c r="N619" s="31">
        <v>2166470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32334.560000000001</v>
      </c>
      <c r="AD619" s="31">
        <v>75000</v>
      </c>
      <c r="AE619" s="31">
        <v>0</v>
      </c>
      <c r="AF619" s="34">
        <v>2021</v>
      </c>
      <c r="AG619" s="34">
        <v>2021</v>
      </c>
      <c r="AH619" s="35">
        <v>2021</v>
      </c>
      <c r="BZ619" s="71"/>
      <c r="CD619" s="20" t="e">
        <f t="shared" si="126"/>
        <v>#N/A</v>
      </c>
    </row>
    <row r="620" spans="1:82" ht="61.5" x14ac:dyDescent="0.85">
      <c r="A620" s="20">
        <v>1</v>
      </c>
      <c r="B620" s="66">
        <f>SUBTOTAL(103,$A$552:A620)</f>
        <v>69</v>
      </c>
      <c r="C620" s="24" t="s">
        <v>1160</v>
      </c>
      <c r="D620" s="31">
        <f t="shared" si="122"/>
        <v>2765824.94</v>
      </c>
      <c r="E620" s="31">
        <v>0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3">
        <v>0</v>
      </c>
      <c r="L620" s="31">
        <v>0</v>
      </c>
      <c r="M620" s="31">
        <v>665</v>
      </c>
      <c r="N620" s="31">
        <v>2653225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39599.379999999997</v>
      </c>
      <c r="AD620" s="31">
        <v>73000.56</v>
      </c>
      <c r="AE620" s="31">
        <v>0</v>
      </c>
      <c r="AF620" s="34">
        <v>2021</v>
      </c>
      <c r="AG620" s="34">
        <v>2021</v>
      </c>
      <c r="AH620" s="35">
        <v>2021</v>
      </c>
      <c r="BZ620" s="71"/>
      <c r="CD620" s="20" t="e">
        <f t="shared" si="126"/>
        <v>#N/A</v>
      </c>
    </row>
    <row r="621" spans="1:82" ht="61.5" x14ac:dyDescent="0.85">
      <c r="A621" s="20">
        <v>1</v>
      </c>
      <c r="B621" s="66">
        <f>SUBTOTAL(103,$A$552:A621)</f>
        <v>70</v>
      </c>
      <c r="C621" s="24" t="s">
        <v>1631</v>
      </c>
      <c r="D621" s="31">
        <f t="shared" si="122"/>
        <v>2292500.0499999998</v>
      </c>
      <c r="E621" s="31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3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840</v>
      </c>
      <c r="R621" s="31">
        <v>2179803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32697.05</v>
      </c>
      <c r="AD621" s="31">
        <v>80000</v>
      </c>
      <c r="AE621" s="31">
        <v>0</v>
      </c>
      <c r="AF621" s="34">
        <v>2021</v>
      </c>
      <c r="AG621" s="34">
        <v>2021</v>
      </c>
      <c r="AH621" s="35">
        <v>2021</v>
      </c>
      <c r="BZ621" s="71"/>
      <c r="CD621" s="20" t="e">
        <f t="shared" si="126"/>
        <v>#N/A</v>
      </c>
    </row>
    <row r="622" spans="1:82" ht="61.5" x14ac:dyDescent="0.85">
      <c r="A622" s="20">
        <v>1</v>
      </c>
      <c r="B622" s="66">
        <f>SUBTOTAL(103,$A$552:A622)</f>
        <v>71</v>
      </c>
      <c r="C622" s="24" t="s">
        <v>1661</v>
      </c>
      <c r="D622" s="31">
        <f t="shared" si="122"/>
        <v>3926550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3">
        <v>0</v>
      </c>
      <c r="L622" s="31">
        <v>0</v>
      </c>
      <c r="M622" s="31">
        <v>900</v>
      </c>
      <c r="N622" s="31">
        <v>3770000</v>
      </c>
      <c r="O622" s="31">
        <v>0</v>
      </c>
      <c r="P622" s="31">
        <v>0</v>
      </c>
      <c r="Q622" s="31">
        <v>0</v>
      </c>
      <c r="R622" s="31">
        <v>0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56550</v>
      </c>
      <c r="AD622" s="31">
        <v>100000</v>
      </c>
      <c r="AE622" s="31">
        <v>0</v>
      </c>
      <c r="AF622" s="34">
        <v>2021</v>
      </c>
      <c r="AG622" s="34">
        <v>2021</v>
      </c>
      <c r="AH622" s="35">
        <v>2021</v>
      </c>
      <c r="BZ622" s="71"/>
      <c r="CD622" s="20" t="e">
        <f t="shared" si="126"/>
        <v>#N/A</v>
      </c>
    </row>
    <row r="623" spans="1:82" ht="61.5" x14ac:dyDescent="0.85">
      <c r="A623" s="20">
        <v>1</v>
      </c>
      <c r="B623" s="66">
        <f>SUBTOTAL(103,$A$552:A623)</f>
        <v>72</v>
      </c>
      <c r="C623" s="24" t="s">
        <v>1662</v>
      </c>
      <c r="D623" s="31">
        <f t="shared" si="122"/>
        <v>3767934.93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3">
        <v>0</v>
      </c>
      <c r="L623" s="31">
        <v>0</v>
      </c>
      <c r="M623" s="31">
        <v>830</v>
      </c>
      <c r="N623" s="31">
        <v>3613729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54205.93</v>
      </c>
      <c r="AD623" s="31">
        <v>100000</v>
      </c>
      <c r="AE623" s="31">
        <v>0</v>
      </c>
      <c r="AF623" s="34">
        <v>2021</v>
      </c>
      <c r="AG623" s="34">
        <v>2021</v>
      </c>
      <c r="AH623" s="35">
        <v>2021</v>
      </c>
      <c r="BZ623" s="71"/>
      <c r="CD623" s="20" t="e">
        <f t="shared" si="126"/>
        <v>#N/A</v>
      </c>
    </row>
    <row r="624" spans="1:82" ht="61.5" x14ac:dyDescent="0.85">
      <c r="A624" s="20">
        <v>1</v>
      </c>
      <c r="B624" s="66">
        <f>SUBTOTAL(103,$A$552:A624)</f>
        <v>73</v>
      </c>
      <c r="C624" s="24" t="s">
        <v>1663</v>
      </c>
      <c r="D624" s="31">
        <f t="shared" si="122"/>
        <v>3158283.01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3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1343.2</v>
      </c>
      <c r="R624" s="31">
        <v>3013086.71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45196.3</v>
      </c>
      <c r="AD624" s="31">
        <v>100000</v>
      </c>
      <c r="AE624" s="31">
        <v>0</v>
      </c>
      <c r="AF624" s="34">
        <v>2021</v>
      </c>
      <c r="AG624" s="34">
        <v>2021</v>
      </c>
      <c r="AH624" s="35">
        <v>2021</v>
      </c>
      <c r="BZ624" s="71"/>
      <c r="CD624" s="20" t="e">
        <f t="shared" si="126"/>
        <v>#N/A</v>
      </c>
    </row>
    <row r="625" spans="1:82" s="155" customFormat="1" ht="61.5" x14ac:dyDescent="0.85">
      <c r="A625" s="155">
        <v>1</v>
      </c>
      <c r="B625" s="66">
        <f>SUBTOTAL(103,$A$552:A625)</f>
        <v>74</v>
      </c>
      <c r="C625" s="24" t="s">
        <v>1736</v>
      </c>
      <c r="D625" s="31">
        <f t="shared" ref="D625" si="127">E625+F625+G625+H625+I625+J625+L625+N625+P625+R625+T625+U625+V625+W625+X625+Y625+Z625+AA625+AB625+AC625+AD625+AE625</f>
        <v>4225178</v>
      </c>
      <c r="E625" s="31">
        <v>0</v>
      </c>
      <c r="F625" s="31">
        <v>0</v>
      </c>
      <c r="G625" s="31">
        <v>0</v>
      </c>
      <c r="H625" s="31">
        <v>0</v>
      </c>
      <c r="I625" s="31">
        <v>0</v>
      </c>
      <c r="J625" s="31">
        <v>0</v>
      </c>
      <c r="K625" s="33">
        <v>2</v>
      </c>
      <c r="L625" s="31">
        <v>4115178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0</v>
      </c>
      <c r="AD625" s="31">
        <v>110000</v>
      </c>
      <c r="AE625" s="31">
        <v>0</v>
      </c>
      <c r="AF625" s="34">
        <v>2021</v>
      </c>
      <c r="AG625" s="34">
        <v>2021</v>
      </c>
      <c r="AH625" s="35" t="s">
        <v>274</v>
      </c>
      <c r="AI625" s="20"/>
      <c r="AJ625" s="20"/>
      <c r="AK625" s="20"/>
      <c r="AL625" s="20"/>
      <c r="BZ625" s="156"/>
      <c r="CD625" s="155" t="e">
        <f t="shared" si="126"/>
        <v>#N/A</v>
      </c>
    </row>
    <row r="626" spans="1:82" ht="61.5" x14ac:dyDescent="0.85">
      <c r="A626" s="20">
        <v>1</v>
      </c>
      <c r="B626" s="66">
        <f>SUBTOTAL(103,$A$552:A626)</f>
        <v>75</v>
      </c>
      <c r="C626" s="24" t="s">
        <v>580</v>
      </c>
      <c r="D626" s="31">
        <f t="shared" si="122"/>
        <v>80000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3">
        <v>0</v>
      </c>
      <c r="L626" s="31">
        <v>0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1">
        <v>80000</v>
      </c>
      <c r="AE626" s="31">
        <v>0</v>
      </c>
      <c r="AF626" s="34">
        <v>2021</v>
      </c>
      <c r="AG626" s="34" t="s">
        <v>274</v>
      </c>
      <c r="AH626" s="35" t="s">
        <v>274</v>
      </c>
      <c r="BZ626" s="71"/>
      <c r="CD626" s="20" t="e">
        <f t="shared" si="126"/>
        <v>#N/A</v>
      </c>
    </row>
    <row r="627" spans="1:82" ht="61.5" x14ac:dyDescent="0.85">
      <c r="A627" s="20">
        <v>1</v>
      </c>
      <c r="B627" s="66">
        <f>SUBTOTAL(103,$A$552:A627)</f>
        <v>76</v>
      </c>
      <c r="C627" s="24" t="s">
        <v>581</v>
      </c>
      <c r="D627" s="31">
        <f t="shared" si="122"/>
        <v>70000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0</v>
      </c>
      <c r="K627" s="33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0</v>
      </c>
      <c r="AD627" s="31">
        <v>70000</v>
      </c>
      <c r="AE627" s="31">
        <v>0</v>
      </c>
      <c r="AF627" s="34">
        <v>2021</v>
      </c>
      <c r="AG627" s="34" t="s">
        <v>274</v>
      </c>
      <c r="AH627" s="35" t="s">
        <v>274</v>
      </c>
      <c r="BZ627" s="71"/>
      <c r="CD627" s="20" t="e">
        <f t="shared" si="126"/>
        <v>#N/A</v>
      </c>
    </row>
    <row r="628" spans="1:82" ht="61.5" x14ac:dyDescent="0.85">
      <c r="A628" s="20">
        <v>1</v>
      </c>
      <c r="B628" s="66">
        <f>SUBTOTAL(103,$A$552:A628)</f>
        <v>77</v>
      </c>
      <c r="C628" s="24" t="s">
        <v>1094</v>
      </c>
      <c r="D628" s="31">
        <f t="shared" si="122"/>
        <v>80000</v>
      </c>
      <c r="E628" s="31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3">
        <v>0</v>
      </c>
      <c r="L628" s="31">
        <v>0</v>
      </c>
      <c r="M628" s="31">
        <v>0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0</v>
      </c>
      <c r="AD628" s="31">
        <v>80000</v>
      </c>
      <c r="AE628" s="31">
        <v>0</v>
      </c>
      <c r="AF628" s="34">
        <v>2021</v>
      </c>
      <c r="AG628" s="34" t="s">
        <v>274</v>
      </c>
      <c r="AH628" s="35" t="s">
        <v>274</v>
      </c>
      <c r="BZ628" s="71"/>
      <c r="CD628" s="20" t="e">
        <f t="shared" si="126"/>
        <v>#N/A</v>
      </c>
    </row>
    <row r="629" spans="1:82" ht="61.5" x14ac:dyDescent="0.85">
      <c r="A629" s="20">
        <v>1</v>
      </c>
      <c r="B629" s="66">
        <f>SUBTOTAL(103,$A$552:A629)</f>
        <v>78</v>
      </c>
      <c r="C629" s="24" t="s">
        <v>582</v>
      </c>
      <c r="D629" s="31">
        <f t="shared" si="122"/>
        <v>100000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3">
        <v>0</v>
      </c>
      <c r="L629" s="31">
        <v>0</v>
      </c>
      <c r="M629" s="31">
        <v>0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100000</v>
      </c>
      <c r="AE629" s="31">
        <v>0</v>
      </c>
      <c r="AF629" s="34">
        <v>2021</v>
      </c>
      <c r="AG629" s="34" t="s">
        <v>274</v>
      </c>
      <c r="AH629" s="35" t="s">
        <v>274</v>
      </c>
      <c r="BZ629" s="71"/>
      <c r="CD629" s="20" t="e">
        <f t="shared" si="126"/>
        <v>#N/A</v>
      </c>
    </row>
    <row r="630" spans="1:82" ht="61.5" x14ac:dyDescent="0.85">
      <c r="A630" s="20">
        <v>1</v>
      </c>
      <c r="B630" s="66">
        <f>SUBTOTAL(103,$A$552:A630)</f>
        <v>79</v>
      </c>
      <c r="C630" s="24" t="s">
        <v>584</v>
      </c>
      <c r="D630" s="31">
        <f t="shared" si="122"/>
        <v>100000</v>
      </c>
      <c r="E630" s="31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3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100000</v>
      </c>
      <c r="AE630" s="31">
        <v>0</v>
      </c>
      <c r="AF630" s="34">
        <v>2021</v>
      </c>
      <c r="AG630" s="34" t="s">
        <v>274</v>
      </c>
      <c r="AH630" s="35" t="s">
        <v>274</v>
      </c>
      <c r="BZ630" s="71"/>
      <c r="CD630" s="20" t="e">
        <f t="shared" si="126"/>
        <v>#N/A</v>
      </c>
    </row>
    <row r="631" spans="1:82" ht="61.5" x14ac:dyDescent="0.85">
      <c r="A631" s="20">
        <v>1</v>
      </c>
      <c r="B631" s="66">
        <f>SUBTOTAL(103,$A$552:A631)</f>
        <v>80</v>
      </c>
      <c r="C631" s="24" t="s">
        <v>585</v>
      </c>
      <c r="D631" s="31">
        <f t="shared" si="122"/>
        <v>100000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3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100000</v>
      </c>
      <c r="AE631" s="31">
        <v>0</v>
      </c>
      <c r="AF631" s="34">
        <v>2021</v>
      </c>
      <c r="AG631" s="34" t="s">
        <v>274</v>
      </c>
      <c r="AH631" s="35" t="s">
        <v>274</v>
      </c>
      <c r="BZ631" s="71"/>
      <c r="CD631" s="20" t="e">
        <f t="shared" si="126"/>
        <v>#N/A</v>
      </c>
    </row>
    <row r="632" spans="1:82" ht="61.5" x14ac:dyDescent="0.85">
      <c r="A632" s="20">
        <v>1</v>
      </c>
      <c r="B632" s="66">
        <f>SUBTOTAL(103,$A$552:A632)</f>
        <v>81</v>
      </c>
      <c r="C632" s="24" t="s">
        <v>586</v>
      </c>
      <c r="D632" s="31">
        <f t="shared" si="122"/>
        <v>100000</v>
      </c>
      <c r="E632" s="31">
        <v>0</v>
      </c>
      <c r="F632" s="31">
        <v>0</v>
      </c>
      <c r="G632" s="31">
        <v>0</v>
      </c>
      <c r="H632" s="31">
        <v>0</v>
      </c>
      <c r="I632" s="31">
        <v>0</v>
      </c>
      <c r="J632" s="31">
        <v>0</v>
      </c>
      <c r="K632" s="33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v>0</v>
      </c>
      <c r="AD632" s="31">
        <v>100000</v>
      </c>
      <c r="AE632" s="31">
        <v>0</v>
      </c>
      <c r="AF632" s="34">
        <v>2021</v>
      </c>
      <c r="AG632" s="34" t="s">
        <v>274</v>
      </c>
      <c r="AH632" s="35" t="s">
        <v>274</v>
      </c>
      <c r="BZ632" s="71"/>
      <c r="CD632" s="20" t="e">
        <f t="shared" si="126"/>
        <v>#N/A</v>
      </c>
    </row>
    <row r="633" spans="1:82" ht="61.5" x14ac:dyDescent="0.85">
      <c r="A633" s="20">
        <v>1</v>
      </c>
      <c r="B633" s="66">
        <f>SUBTOTAL(103,$A$552:A633)</f>
        <v>82</v>
      </c>
      <c r="C633" s="24" t="s">
        <v>1676</v>
      </c>
      <c r="D633" s="31">
        <f t="shared" si="122"/>
        <v>100001.92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3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1">
        <v>100001.92</v>
      </c>
      <c r="AE633" s="31">
        <v>0</v>
      </c>
      <c r="AF633" s="34">
        <v>2021</v>
      </c>
      <c r="AG633" s="34" t="s">
        <v>274</v>
      </c>
      <c r="AH633" s="35" t="s">
        <v>274</v>
      </c>
      <c r="BZ633" s="71"/>
      <c r="CD633" s="20" t="e">
        <f t="shared" si="126"/>
        <v>#N/A</v>
      </c>
    </row>
    <row r="634" spans="1:82" ht="61.5" x14ac:dyDescent="0.85">
      <c r="A634" s="20">
        <v>1</v>
      </c>
      <c r="B634" s="66">
        <f>SUBTOTAL(103,$A$552:A634)</f>
        <v>83</v>
      </c>
      <c r="C634" s="24" t="s">
        <v>587</v>
      </c>
      <c r="D634" s="31">
        <f t="shared" si="122"/>
        <v>100000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3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100000</v>
      </c>
      <c r="AE634" s="31">
        <v>0</v>
      </c>
      <c r="AF634" s="34">
        <v>2021</v>
      </c>
      <c r="AG634" s="34" t="s">
        <v>274</v>
      </c>
      <c r="AH634" s="35" t="s">
        <v>274</v>
      </c>
      <c r="BZ634" s="71"/>
      <c r="CD634" s="20" t="e">
        <f t="shared" si="126"/>
        <v>#N/A</v>
      </c>
    </row>
    <row r="635" spans="1:82" ht="61.5" x14ac:dyDescent="0.85">
      <c r="A635" s="20">
        <v>1</v>
      </c>
      <c r="B635" s="66">
        <f>SUBTOTAL(103,$A$552:A635)</f>
        <v>84</v>
      </c>
      <c r="C635" s="24" t="s">
        <v>1677</v>
      </c>
      <c r="D635" s="31">
        <f t="shared" si="122"/>
        <v>100000</v>
      </c>
      <c r="E635" s="31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3">
        <v>0</v>
      </c>
      <c r="L635" s="31">
        <v>0</v>
      </c>
      <c r="M635" s="31">
        <v>0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100000</v>
      </c>
      <c r="AE635" s="31">
        <v>0</v>
      </c>
      <c r="AF635" s="34">
        <v>2021</v>
      </c>
      <c r="AG635" s="34" t="s">
        <v>274</v>
      </c>
      <c r="AH635" s="35" t="s">
        <v>274</v>
      </c>
      <c r="BZ635" s="71"/>
      <c r="CD635" s="20" t="e">
        <f t="shared" si="126"/>
        <v>#N/A</v>
      </c>
    </row>
    <row r="636" spans="1:82" ht="61.5" x14ac:dyDescent="0.85">
      <c r="A636" s="20">
        <v>1</v>
      </c>
      <c r="B636" s="66">
        <f>SUBTOTAL(103,$A$552:A636)</f>
        <v>85</v>
      </c>
      <c r="C636" s="24" t="s">
        <v>588</v>
      </c>
      <c r="D636" s="31">
        <f t="shared" si="122"/>
        <v>100000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3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1">
        <v>100000</v>
      </c>
      <c r="AE636" s="31">
        <v>0</v>
      </c>
      <c r="AF636" s="34">
        <v>2021</v>
      </c>
      <c r="AG636" s="34" t="s">
        <v>274</v>
      </c>
      <c r="AH636" s="35" t="s">
        <v>274</v>
      </c>
      <c r="BZ636" s="71"/>
      <c r="CD636" s="20" t="e">
        <f t="shared" si="126"/>
        <v>#N/A</v>
      </c>
    </row>
    <row r="637" spans="1:82" ht="61.5" x14ac:dyDescent="0.85">
      <c r="A637" s="20">
        <v>1</v>
      </c>
      <c r="B637" s="66">
        <f>SUBTOTAL(103,$A$552:A637)</f>
        <v>86</v>
      </c>
      <c r="C637" s="24" t="s">
        <v>589</v>
      </c>
      <c r="D637" s="31">
        <f t="shared" si="122"/>
        <v>100000</v>
      </c>
      <c r="E637" s="31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3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1">
        <v>100000</v>
      </c>
      <c r="AE637" s="31">
        <v>0</v>
      </c>
      <c r="AF637" s="34">
        <v>2021</v>
      </c>
      <c r="AG637" s="34" t="s">
        <v>274</v>
      </c>
      <c r="AH637" s="35" t="s">
        <v>274</v>
      </c>
      <c r="BZ637" s="71"/>
      <c r="CD637" s="20" t="e">
        <f t="shared" si="126"/>
        <v>#N/A</v>
      </c>
    </row>
    <row r="638" spans="1:82" ht="61.5" x14ac:dyDescent="0.85">
      <c r="A638" s="20">
        <v>1</v>
      </c>
      <c r="B638" s="66">
        <f>SUBTOTAL(103,$A$552:A638)</f>
        <v>87</v>
      </c>
      <c r="C638" s="24" t="s">
        <v>590</v>
      </c>
      <c r="D638" s="31">
        <f t="shared" si="122"/>
        <v>100000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3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1">
        <v>100000</v>
      </c>
      <c r="AE638" s="31">
        <v>0</v>
      </c>
      <c r="AF638" s="34">
        <v>2021</v>
      </c>
      <c r="AG638" s="34" t="s">
        <v>274</v>
      </c>
      <c r="AH638" s="35" t="s">
        <v>274</v>
      </c>
      <c r="BZ638" s="71"/>
      <c r="CD638" s="20" t="e">
        <f t="shared" si="126"/>
        <v>#N/A</v>
      </c>
    </row>
    <row r="639" spans="1:82" ht="61.5" x14ac:dyDescent="0.85">
      <c r="A639" s="20">
        <v>1</v>
      </c>
      <c r="B639" s="66">
        <f>SUBTOTAL(103,$A$552:A639)</f>
        <v>88</v>
      </c>
      <c r="C639" s="24" t="s">
        <v>591</v>
      </c>
      <c r="D639" s="31">
        <f t="shared" si="122"/>
        <v>100000</v>
      </c>
      <c r="E639" s="31">
        <v>0</v>
      </c>
      <c r="F639" s="31">
        <v>0</v>
      </c>
      <c r="G639" s="31">
        <v>0</v>
      </c>
      <c r="H639" s="31">
        <v>0</v>
      </c>
      <c r="I639" s="31">
        <v>0</v>
      </c>
      <c r="J639" s="31">
        <v>0</v>
      </c>
      <c r="K639" s="33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v>0</v>
      </c>
      <c r="AD639" s="31">
        <v>100000</v>
      </c>
      <c r="AE639" s="31">
        <v>0</v>
      </c>
      <c r="AF639" s="34">
        <v>2021</v>
      </c>
      <c r="AG639" s="34" t="s">
        <v>274</v>
      </c>
      <c r="AH639" s="35" t="s">
        <v>274</v>
      </c>
      <c r="BZ639" s="71"/>
      <c r="CD639" s="20" t="e">
        <f t="shared" si="126"/>
        <v>#N/A</v>
      </c>
    </row>
    <row r="640" spans="1:82" ht="61.5" x14ac:dyDescent="0.85">
      <c r="A640" s="20">
        <v>1</v>
      </c>
      <c r="B640" s="66">
        <f>SUBTOTAL(103,$A$552:A640)</f>
        <v>89</v>
      </c>
      <c r="C640" s="24" t="s">
        <v>592</v>
      </c>
      <c r="D640" s="31">
        <f t="shared" si="122"/>
        <v>99900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3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99900</v>
      </c>
      <c r="AE640" s="31">
        <v>0</v>
      </c>
      <c r="AF640" s="34">
        <v>2021</v>
      </c>
      <c r="AG640" s="34" t="s">
        <v>274</v>
      </c>
      <c r="AH640" s="35" t="s">
        <v>274</v>
      </c>
      <c r="BZ640" s="71"/>
      <c r="CD640" s="20" t="e">
        <f t="shared" si="126"/>
        <v>#N/A</v>
      </c>
    </row>
    <row r="641" spans="1:82" ht="61.5" x14ac:dyDescent="0.85">
      <c r="A641" s="20">
        <v>1</v>
      </c>
      <c r="B641" s="66">
        <f>SUBTOTAL(103,$A$552:A641)</f>
        <v>90</v>
      </c>
      <c r="C641" s="24" t="s">
        <v>1678</v>
      </c>
      <c r="D641" s="31">
        <f t="shared" si="122"/>
        <v>100000</v>
      </c>
      <c r="E641" s="31">
        <v>0</v>
      </c>
      <c r="F641" s="31">
        <v>0</v>
      </c>
      <c r="G641" s="31">
        <v>0</v>
      </c>
      <c r="H641" s="31">
        <v>0</v>
      </c>
      <c r="I641" s="31">
        <v>0</v>
      </c>
      <c r="J641" s="31">
        <v>0</v>
      </c>
      <c r="K641" s="33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v>0</v>
      </c>
      <c r="AD641" s="31">
        <v>100000</v>
      </c>
      <c r="AE641" s="31">
        <v>0</v>
      </c>
      <c r="AF641" s="34">
        <v>2021</v>
      </c>
      <c r="AG641" s="34" t="s">
        <v>274</v>
      </c>
      <c r="AH641" s="35" t="s">
        <v>274</v>
      </c>
      <c r="BZ641" s="71"/>
      <c r="CD641" s="20" t="e">
        <f t="shared" si="126"/>
        <v>#N/A</v>
      </c>
    </row>
    <row r="642" spans="1:82" ht="61.5" x14ac:dyDescent="0.85">
      <c r="A642" s="20">
        <v>1</v>
      </c>
      <c r="B642" s="66">
        <f>SUBTOTAL(103,$A$552:A642)</f>
        <v>91</v>
      </c>
      <c r="C642" s="24" t="s">
        <v>593</v>
      </c>
      <c r="D642" s="31">
        <f t="shared" si="122"/>
        <v>100000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3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100000</v>
      </c>
      <c r="AE642" s="31">
        <v>0</v>
      </c>
      <c r="AF642" s="34">
        <v>2021</v>
      </c>
      <c r="AG642" s="34" t="s">
        <v>274</v>
      </c>
      <c r="AH642" s="35" t="s">
        <v>274</v>
      </c>
      <c r="BZ642" s="71"/>
      <c r="CD642" s="20" t="e">
        <f t="shared" si="126"/>
        <v>#N/A</v>
      </c>
    </row>
    <row r="643" spans="1:82" ht="61.5" x14ac:dyDescent="0.85">
      <c r="A643" s="20">
        <v>1</v>
      </c>
      <c r="B643" s="66">
        <f>SUBTOTAL(103,$A$552:A643)</f>
        <v>92</v>
      </c>
      <c r="C643" s="24" t="s">
        <v>594</v>
      </c>
      <c r="D643" s="31">
        <f t="shared" si="122"/>
        <v>100000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3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100000</v>
      </c>
      <c r="AE643" s="31">
        <v>0</v>
      </c>
      <c r="AF643" s="34">
        <v>2021</v>
      </c>
      <c r="AG643" s="34" t="s">
        <v>274</v>
      </c>
      <c r="AH643" s="35" t="s">
        <v>274</v>
      </c>
      <c r="BZ643" s="71"/>
      <c r="CD643" s="20" t="e">
        <f t="shared" si="126"/>
        <v>#N/A</v>
      </c>
    </row>
    <row r="644" spans="1:82" ht="61.5" x14ac:dyDescent="0.85">
      <c r="A644" s="20">
        <v>1</v>
      </c>
      <c r="B644" s="66">
        <f>SUBTOTAL(103,$A$552:A644)</f>
        <v>93</v>
      </c>
      <c r="C644" s="24" t="s">
        <v>595</v>
      </c>
      <c r="D644" s="31">
        <f t="shared" si="122"/>
        <v>100000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3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100000</v>
      </c>
      <c r="AE644" s="31">
        <v>0</v>
      </c>
      <c r="AF644" s="34">
        <v>2021</v>
      </c>
      <c r="AG644" s="34" t="s">
        <v>274</v>
      </c>
      <c r="AH644" s="35" t="s">
        <v>274</v>
      </c>
      <c r="BZ644" s="71"/>
      <c r="CD644" s="20" t="e">
        <f t="shared" si="126"/>
        <v>#N/A</v>
      </c>
    </row>
    <row r="645" spans="1:82" ht="61.5" x14ac:dyDescent="0.85">
      <c r="A645" s="20">
        <v>1</v>
      </c>
      <c r="B645" s="66">
        <f>SUBTOTAL(103,$A$552:A645)</f>
        <v>94</v>
      </c>
      <c r="C645" s="24" t="s">
        <v>596</v>
      </c>
      <c r="D645" s="31">
        <f t="shared" si="122"/>
        <v>100000</v>
      </c>
      <c r="E645" s="31">
        <v>0</v>
      </c>
      <c r="F645" s="31">
        <v>0</v>
      </c>
      <c r="G645" s="31">
        <v>0</v>
      </c>
      <c r="H645" s="31">
        <v>0</v>
      </c>
      <c r="I645" s="31">
        <v>0</v>
      </c>
      <c r="J645" s="31">
        <v>0</v>
      </c>
      <c r="K645" s="33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100000</v>
      </c>
      <c r="AE645" s="31">
        <v>0</v>
      </c>
      <c r="AF645" s="34">
        <v>2021</v>
      </c>
      <c r="AG645" s="34" t="s">
        <v>274</v>
      </c>
      <c r="AH645" s="35" t="s">
        <v>274</v>
      </c>
      <c r="BZ645" s="71"/>
      <c r="CD645" s="20" t="e">
        <f t="shared" si="126"/>
        <v>#N/A</v>
      </c>
    </row>
    <row r="646" spans="1:82" ht="61.5" x14ac:dyDescent="0.85">
      <c r="A646" s="20">
        <v>1</v>
      </c>
      <c r="B646" s="66">
        <f>SUBTOTAL(103,$A$552:A646)</f>
        <v>95</v>
      </c>
      <c r="C646" s="24" t="s">
        <v>597</v>
      </c>
      <c r="D646" s="31">
        <f t="shared" si="122"/>
        <v>100000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3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1">
        <v>100000</v>
      </c>
      <c r="AE646" s="31">
        <v>0</v>
      </c>
      <c r="AF646" s="34">
        <v>2021</v>
      </c>
      <c r="AG646" s="34" t="s">
        <v>274</v>
      </c>
      <c r="AH646" s="35" t="s">
        <v>274</v>
      </c>
      <c r="BZ646" s="71"/>
      <c r="CD646" s="20" t="e">
        <f t="shared" si="126"/>
        <v>#N/A</v>
      </c>
    </row>
    <row r="647" spans="1:82" ht="61.5" x14ac:dyDescent="0.85">
      <c r="A647" s="20">
        <v>1</v>
      </c>
      <c r="B647" s="66">
        <f>SUBTOTAL(103,$A$552:A647)</f>
        <v>96</v>
      </c>
      <c r="C647" s="24" t="s">
        <v>598</v>
      </c>
      <c r="D647" s="31">
        <f t="shared" si="122"/>
        <v>100000</v>
      </c>
      <c r="E647" s="31">
        <v>0</v>
      </c>
      <c r="F647" s="31">
        <v>0</v>
      </c>
      <c r="G647" s="31">
        <v>0</v>
      </c>
      <c r="H647" s="31">
        <v>0</v>
      </c>
      <c r="I647" s="31">
        <v>0</v>
      </c>
      <c r="J647" s="31">
        <v>0</v>
      </c>
      <c r="K647" s="33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100000</v>
      </c>
      <c r="AE647" s="31">
        <v>0</v>
      </c>
      <c r="AF647" s="34">
        <v>2021</v>
      </c>
      <c r="AG647" s="34" t="s">
        <v>274</v>
      </c>
      <c r="AH647" s="35" t="s">
        <v>274</v>
      </c>
      <c r="BZ647" s="71"/>
      <c r="CD647" s="20" t="e">
        <f t="shared" si="126"/>
        <v>#N/A</v>
      </c>
    </row>
    <row r="648" spans="1:82" ht="61.5" x14ac:dyDescent="0.85">
      <c r="A648" s="20">
        <v>1</v>
      </c>
      <c r="B648" s="66">
        <f>SUBTOTAL(103,$A$552:A648)</f>
        <v>97</v>
      </c>
      <c r="C648" s="24" t="s">
        <v>599</v>
      </c>
      <c r="D648" s="31">
        <f t="shared" si="122"/>
        <v>100000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3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1">
        <v>100000</v>
      </c>
      <c r="AE648" s="31">
        <v>0</v>
      </c>
      <c r="AF648" s="34">
        <v>2021</v>
      </c>
      <c r="AG648" s="34" t="s">
        <v>274</v>
      </c>
      <c r="AH648" s="35" t="s">
        <v>274</v>
      </c>
      <c r="BZ648" s="71"/>
      <c r="CD648" s="20" t="e">
        <f t="shared" si="126"/>
        <v>#N/A</v>
      </c>
    </row>
    <row r="649" spans="1:82" ht="61.5" x14ac:dyDescent="0.85">
      <c r="A649" s="20">
        <v>1</v>
      </c>
      <c r="B649" s="66">
        <f>SUBTOTAL(103,$A$552:A649)</f>
        <v>98</v>
      </c>
      <c r="C649" s="24" t="s">
        <v>600</v>
      </c>
      <c r="D649" s="31">
        <f t="shared" si="122"/>
        <v>100000</v>
      </c>
      <c r="E649" s="31">
        <v>0</v>
      </c>
      <c r="F649" s="31">
        <v>0</v>
      </c>
      <c r="G649" s="31">
        <v>0</v>
      </c>
      <c r="H649" s="31">
        <v>0</v>
      </c>
      <c r="I649" s="31">
        <v>0</v>
      </c>
      <c r="J649" s="31">
        <v>0</v>
      </c>
      <c r="K649" s="33">
        <v>0</v>
      </c>
      <c r="L649" s="31">
        <v>0</v>
      </c>
      <c r="M649" s="31">
        <v>0</v>
      </c>
      <c r="N649" s="31">
        <v>0</v>
      </c>
      <c r="O649" s="31">
        <v>0</v>
      </c>
      <c r="P649" s="31">
        <v>0</v>
      </c>
      <c r="Q649" s="31">
        <v>0</v>
      </c>
      <c r="R649" s="31">
        <v>0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1">
        <v>100000</v>
      </c>
      <c r="AE649" s="31">
        <v>0</v>
      </c>
      <c r="AF649" s="34">
        <v>2021</v>
      </c>
      <c r="AG649" s="34" t="s">
        <v>274</v>
      </c>
      <c r="AH649" s="35" t="s">
        <v>274</v>
      </c>
      <c r="BZ649" s="71"/>
      <c r="CD649" s="20" t="e">
        <f t="shared" si="126"/>
        <v>#N/A</v>
      </c>
    </row>
    <row r="650" spans="1:82" ht="61.5" x14ac:dyDescent="0.85">
      <c r="A650" s="20">
        <v>1</v>
      </c>
      <c r="B650" s="66">
        <f>SUBTOTAL(103,$A$552:A650)</f>
        <v>99</v>
      </c>
      <c r="C650" s="24" t="s">
        <v>601</v>
      </c>
      <c r="D650" s="31">
        <f t="shared" si="122"/>
        <v>100000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3">
        <v>0</v>
      </c>
      <c r="L650" s="31">
        <v>0</v>
      </c>
      <c r="M650" s="31">
        <v>0</v>
      </c>
      <c r="N650" s="31">
        <v>0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1">
        <v>100000</v>
      </c>
      <c r="AE650" s="31">
        <v>0</v>
      </c>
      <c r="AF650" s="34">
        <v>2021</v>
      </c>
      <c r="AG650" s="34" t="s">
        <v>274</v>
      </c>
      <c r="AH650" s="35" t="s">
        <v>274</v>
      </c>
      <c r="BZ650" s="71"/>
      <c r="CD650" s="20" t="e">
        <f t="shared" si="126"/>
        <v>#N/A</v>
      </c>
    </row>
    <row r="651" spans="1:82" ht="61.5" x14ac:dyDescent="0.85">
      <c r="A651" s="20">
        <v>1</v>
      </c>
      <c r="B651" s="66">
        <f>SUBTOTAL(103,$A$552:A651)</f>
        <v>100</v>
      </c>
      <c r="C651" s="24" t="s">
        <v>602</v>
      </c>
      <c r="D651" s="31">
        <f t="shared" si="122"/>
        <v>100000</v>
      </c>
      <c r="E651" s="31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3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1">
        <v>100000</v>
      </c>
      <c r="AE651" s="31">
        <v>0</v>
      </c>
      <c r="AF651" s="34">
        <v>2021</v>
      </c>
      <c r="AG651" s="34" t="s">
        <v>274</v>
      </c>
      <c r="AH651" s="35" t="s">
        <v>274</v>
      </c>
      <c r="BZ651" s="71"/>
      <c r="CD651" s="20" t="e">
        <f t="shared" si="126"/>
        <v>#N/A</v>
      </c>
    </row>
    <row r="652" spans="1:82" ht="61.5" x14ac:dyDescent="0.85">
      <c r="A652" s="20">
        <v>1</v>
      </c>
      <c r="B652" s="66">
        <f>SUBTOTAL(103,$A$552:A652)</f>
        <v>101</v>
      </c>
      <c r="C652" s="24" t="s">
        <v>1679</v>
      </c>
      <c r="D652" s="31">
        <f t="shared" si="122"/>
        <v>100000</v>
      </c>
      <c r="E652" s="31">
        <v>0</v>
      </c>
      <c r="F652" s="31">
        <v>0</v>
      </c>
      <c r="G652" s="31">
        <v>0</v>
      </c>
      <c r="H652" s="31">
        <v>0</v>
      </c>
      <c r="I652" s="31">
        <v>0</v>
      </c>
      <c r="J652" s="31">
        <v>0</v>
      </c>
      <c r="K652" s="33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1">
        <v>100000</v>
      </c>
      <c r="AE652" s="31">
        <v>0</v>
      </c>
      <c r="AF652" s="34">
        <v>2021</v>
      </c>
      <c r="AG652" s="34" t="s">
        <v>274</v>
      </c>
      <c r="AH652" s="35" t="s">
        <v>274</v>
      </c>
      <c r="BZ652" s="71"/>
      <c r="CD652" s="20" t="e">
        <f t="shared" si="126"/>
        <v>#N/A</v>
      </c>
    </row>
    <row r="653" spans="1:82" ht="61.5" x14ac:dyDescent="0.85">
      <c r="A653" s="20">
        <v>1</v>
      </c>
      <c r="B653" s="66">
        <f>SUBTOTAL(103,$A$552:A653)</f>
        <v>102</v>
      </c>
      <c r="C653" s="24" t="s">
        <v>1680</v>
      </c>
      <c r="D653" s="31">
        <f t="shared" si="122"/>
        <v>100000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3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1">
        <v>100000</v>
      </c>
      <c r="AE653" s="31">
        <v>0</v>
      </c>
      <c r="AF653" s="34">
        <v>2021</v>
      </c>
      <c r="AG653" s="34" t="s">
        <v>274</v>
      </c>
      <c r="AH653" s="35" t="s">
        <v>274</v>
      </c>
      <c r="BZ653" s="71"/>
      <c r="CD653" s="20" t="e">
        <f t="shared" si="126"/>
        <v>#N/A</v>
      </c>
    </row>
    <row r="654" spans="1:82" ht="61.5" x14ac:dyDescent="0.85">
      <c r="A654" s="20">
        <v>1</v>
      </c>
      <c r="B654" s="66">
        <f>SUBTOTAL(103,$A$552:A654)</f>
        <v>103</v>
      </c>
      <c r="C654" s="24" t="s">
        <v>603</v>
      </c>
      <c r="D654" s="31">
        <f t="shared" si="122"/>
        <v>100000</v>
      </c>
      <c r="E654" s="31">
        <v>0</v>
      </c>
      <c r="F654" s="31">
        <v>0</v>
      </c>
      <c r="G654" s="31">
        <v>0</v>
      </c>
      <c r="H654" s="31">
        <v>0</v>
      </c>
      <c r="I654" s="31">
        <v>0</v>
      </c>
      <c r="J654" s="31">
        <v>0</v>
      </c>
      <c r="K654" s="33">
        <v>0</v>
      </c>
      <c r="L654" s="31">
        <v>0</v>
      </c>
      <c r="M654" s="31">
        <v>0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1">
        <v>100000</v>
      </c>
      <c r="AE654" s="31">
        <v>0</v>
      </c>
      <c r="AF654" s="34">
        <v>2021</v>
      </c>
      <c r="AG654" s="34" t="s">
        <v>274</v>
      </c>
      <c r="AH654" s="35" t="s">
        <v>274</v>
      </c>
      <c r="BZ654" s="71"/>
      <c r="CD654" s="20" t="e">
        <f t="shared" si="126"/>
        <v>#N/A</v>
      </c>
    </row>
    <row r="655" spans="1:82" ht="61.5" x14ac:dyDescent="0.85">
      <c r="A655" s="20">
        <v>1</v>
      </c>
      <c r="B655" s="66">
        <f>SUBTOTAL(103,$A$552:A655)</f>
        <v>104</v>
      </c>
      <c r="C655" s="24" t="s">
        <v>604</v>
      </c>
      <c r="D655" s="31">
        <f t="shared" si="122"/>
        <v>100000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3">
        <v>0</v>
      </c>
      <c r="L655" s="31">
        <v>0</v>
      </c>
      <c r="M655" s="31">
        <v>0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100000</v>
      </c>
      <c r="AE655" s="31">
        <v>0</v>
      </c>
      <c r="AF655" s="34">
        <v>2021</v>
      </c>
      <c r="AG655" s="34" t="s">
        <v>274</v>
      </c>
      <c r="AH655" s="35" t="s">
        <v>274</v>
      </c>
      <c r="BZ655" s="71"/>
      <c r="CD655" s="20" t="e">
        <f t="shared" si="126"/>
        <v>#N/A</v>
      </c>
    </row>
    <row r="656" spans="1:82" ht="61.5" x14ac:dyDescent="0.85">
      <c r="A656" s="20">
        <v>1</v>
      </c>
      <c r="B656" s="66">
        <f>SUBTOTAL(103,$A$552:A656)</f>
        <v>105</v>
      </c>
      <c r="C656" s="24" t="s">
        <v>605</v>
      </c>
      <c r="D656" s="31">
        <f t="shared" si="122"/>
        <v>100000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3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100000</v>
      </c>
      <c r="AE656" s="31">
        <v>0</v>
      </c>
      <c r="AF656" s="34">
        <v>2021</v>
      </c>
      <c r="AG656" s="34" t="s">
        <v>274</v>
      </c>
      <c r="AH656" s="35" t="s">
        <v>274</v>
      </c>
      <c r="BZ656" s="71"/>
      <c r="CD656" s="20" t="e">
        <f t="shared" si="126"/>
        <v>#N/A</v>
      </c>
    </row>
    <row r="657" spans="1:82" ht="61.5" x14ac:dyDescent="0.85">
      <c r="A657" s="20">
        <v>1</v>
      </c>
      <c r="B657" s="66">
        <f>SUBTOTAL(103,$A$552:A657)</f>
        <v>106</v>
      </c>
      <c r="C657" s="24" t="s">
        <v>606</v>
      </c>
      <c r="D657" s="31">
        <f t="shared" si="122"/>
        <v>100000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3">
        <v>0</v>
      </c>
      <c r="L657" s="31">
        <v>0</v>
      </c>
      <c r="M657" s="31">
        <v>0</v>
      </c>
      <c r="N657" s="31">
        <v>0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1">
        <v>100000</v>
      </c>
      <c r="AE657" s="31">
        <v>0</v>
      </c>
      <c r="AF657" s="34">
        <v>2021</v>
      </c>
      <c r="AG657" s="34" t="s">
        <v>274</v>
      </c>
      <c r="AH657" s="35" t="s">
        <v>274</v>
      </c>
      <c r="BZ657" s="71"/>
      <c r="CD657" s="20" t="e">
        <f t="shared" si="126"/>
        <v>#N/A</v>
      </c>
    </row>
    <row r="658" spans="1:82" ht="61.5" x14ac:dyDescent="0.85">
      <c r="A658" s="20">
        <v>1</v>
      </c>
      <c r="B658" s="66">
        <f>SUBTOTAL(103,$A$552:A658)</f>
        <v>107</v>
      </c>
      <c r="C658" s="24" t="s">
        <v>607</v>
      </c>
      <c r="D658" s="31">
        <f t="shared" si="122"/>
        <v>100000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3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0</v>
      </c>
      <c r="R658" s="31">
        <v>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1">
        <v>100000</v>
      </c>
      <c r="AE658" s="31">
        <v>0</v>
      </c>
      <c r="AF658" s="34">
        <v>2021</v>
      </c>
      <c r="AG658" s="34" t="s">
        <v>274</v>
      </c>
      <c r="AH658" s="35" t="s">
        <v>274</v>
      </c>
      <c r="BZ658" s="71"/>
      <c r="CD658" s="20" t="e">
        <f t="shared" si="126"/>
        <v>#N/A</v>
      </c>
    </row>
    <row r="659" spans="1:82" ht="61.5" x14ac:dyDescent="0.85">
      <c r="A659" s="20">
        <v>1</v>
      </c>
      <c r="B659" s="66">
        <f>SUBTOTAL(103,$A$552:A659)</f>
        <v>108</v>
      </c>
      <c r="C659" s="24" t="s">
        <v>608</v>
      </c>
      <c r="D659" s="31">
        <f t="shared" si="122"/>
        <v>100000</v>
      </c>
      <c r="E659" s="31">
        <v>0</v>
      </c>
      <c r="F659" s="31">
        <v>0</v>
      </c>
      <c r="G659" s="31">
        <v>0</v>
      </c>
      <c r="H659" s="31">
        <v>0</v>
      </c>
      <c r="I659" s="31">
        <v>0</v>
      </c>
      <c r="J659" s="31">
        <v>0</v>
      </c>
      <c r="K659" s="33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1">
        <v>100000</v>
      </c>
      <c r="AE659" s="31">
        <v>0</v>
      </c>
      <c r="AF659" s="34">
        <v>2021</v>
      </c>
      <c r="AG659" s="34" t="s">
        <v>274</v>
      </c>
      <c r="AH659" s="35" t="s">
        <v>274</v>
      </c>
      <c r="BZ659" s="71"/>
      <c r="CD659" s="20" t="e">
        <f t="shared" si="126"/>
        <v>#N/A</v>
      </c>
    </row>
    <row r="660" spans="1:82" ht="61.5" x14ac:dyDescent="0.85">
      <c r="A660" s="20">
        <v>1</v>
      </c>
      <c r="B660" s="66">
        <f>SUBTOTAL(103,$A$552:A660)</f>
        <v>109</v>
      </c>
      <c r="C660" s="24" t="s">
        <v>609</v>
      </c>
      <c r="D660" s="31">
        <f t="shared" si="122"/>
        <v>120000.25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3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1">
        <v>120000.25</v>
      </c>
      <c r="AE660" s="31">
        <v>0</v>
      </c>
      <c r="AF660" s="34">
        <v>2021</v>
      </c>
      <c r="AG660" s="34" t="s">
        <v>274</v>
      </c>
      <c r="AH660" s="35" t="s">
        <v>274</v>
      </c>
      <c r="BZ660" s="71"/>
      <c r="CD660" s="20" t="e">
        <f t="shared" si="126"/>
        <v>#N/A</v>
      </c>
    </row>
    <row r="661" spans="1:82" ht="61.5" x14ac:dyDescent="0.85">
      <c r="A661" s="20">
        <v>1</v>
      </c>
      <c r="B661" s="66">
        <f>SUBTOTAL(103,$A$552:A661)</f>
        <v>110</v>
      </c>
      <c r="C661" s="24" t="s">
        <v>610</v>
      </c>
      <c r="D661" s="31">
        <f t="shared" si="122"/>
        <v>100000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3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1">
        <v>100000</v>
      </c>
      <c r="AE661" s="31">
        <v>0</v>
      </c>
      <c r="AF661" s="34">
        <v>2021</v>
      </c>
      <c r="AG661" s="34" t="s">
        <v>274</v>
      </c>
      <c r="AH661" s="35" t="s">
        <v>274</v>
      </c>
      <c r="BZ661" s="71"/>
      <c r="CD661" s="20" t="e">
        <f t="shared" si="126"/>
        <v>#N/A</v>
      </c>
    </row>
    <row r="662" spans="1:82" ht="61.5" x14ac:dyDescent="0.85">
      <c r="A662" s="20">
        <v>1</v>
      </c>
      <c r="B662" s="66">
        <f>SUBTOTAL(103,$A$552:A662)</f>
        <v>111</v>
      </c>
      <c r="C662" s="24" t="s">
        <v>611</v>
      </c>
      <c r="D662" s="31">
        <f t="shared" si="122"/>
        <v>100000</v>
      </c>
      <c r="E662" s="31">
        <v>0</v>
      </c>
      <c r="F662" s="31">
        <v>0</v>
      </c>
      <c r="G662" s="31">
        <v>0</v>
      </c>
      <c r="H662" s="31">
        <v>0</v>
      </c>
      <c r="I662" s="31">
        <v>0</v>
      </c>
      <c r="J662" s="31">
        <v>0</v>
      </c>
      <c r="K662" s="33">
        <v>0</v>
      </c>
      <c r="L662" s="31">
        <v>0</v>
      </c>
      <c r="M662" s="31">
        <v>0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1">
        <v>100000</v>
      </c>
      <c r="AE662" s="31">
        <v>0</v>
      </c>
      <c r="AF662" s="34">
        <v>2021</v>
      </c>
      <c r="AG662" s="34" t="s">
        <v>274</v>
      </c>
      <c r="AH662" s="35" t="s">
        <v>274</v>
      </c>
      <c r="BZ662" s="71"/>
      <c r="CD662" s="20" t="e">
        <f t="shared" ref="CD662:CD725" si="128">VLOOKUP(C662,CE:CF,2,FALSE)</f>
        <v>#N/A</v>
      </c>
    </row>
    <row r="663" spans="1:82" ht="61.5" x14ac:dyDescent="0.85">
      <c r="A663" s="20">
        <v>1</v>
      </c>
      <c r="B663" s="66">
        <f>SUBTOTAL(103,$A$552:A663)</f>
        <v>112</v>
      </c>
      <c r="C663" s="24" t="s">
        <v>612</v>
      </c>
      <c r="D663" s="31">
        <f t="shared" si="122"/>
        <v>100000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3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1">
        <v>100000</v>
      </c>
      <c r="AE663" s="31">
        <v>0</v>
      </c>
      <c r="AF663" s="34">
        <v>2021</v>
      </c>
      <c r="AG663" s="34" t="s">
        <v>274</v>
      </c>
      <c r="AH663" s="35" t="s">
        <v>274</v>
      </c>
      <c r="BZ663" s="71"/>
      <c r="CD663" s="20" t="e">
        <f t="shared" si="128"/>
        <v>#N/A</v>
      </c>
    </row>
    <row r="664" spans="1:82" ht="61.5" x14ac:dyDescent="0.85">
      <c r="A664" s="20">
        <v>1</v>
      </c>
      <c r="B664" s="66">
        <f>SUBTOTAL(103,$A$552:A664)</f>
        <v>113</v>
      </c>
      <c r="C664" s="24" t="s">
        <v>613</v>
      </c>
      <c r="D664" s="31">
        <f t="shared" si="122"/>
        <v>100000</v>
      </c>
      <c r="E664" s="31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33">
        <v>0</v>
      </c>
      <c r="L664" s="31">
        <v>0</v>
      </c>
      <c r="M664" s="31">
        <v>0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100000</v>
      </c>
      <c r="AE664" s="31">
        <v>0</v>
      </c>
      <c r="AF664" s="34">
        <v>2021</v>
      </c>
      <c r="AG664" s="34" t="s">
        <v>274</v>
      </c>
      <c r="AH664" s="35" t="s">
        <v>274</v>
      </c>
      <c r="BZ664" s="71"/>
      <c r="CD664" s="20" t="e">
        <f t="shared" si="128"/>
        <v>#N/A</v>
      </c>
    </row>
    <row r="665" spans="1:82" ht="61.5" x14ac:dyDescent="0.85">
      <c r="A665" s="20">
        <v>1</v>
      </c>
      <c r="B665" s="66">
        <f>SUBTOTAL(103,$A$552:A665)</f>
        <v>114</v>
      </c>
      <c r="C665" s="24" t="s">
        <v>614</v>
      </c>
      <c r="D665" s="31">
        <f t="shared" si="122"/>
        <v>100000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3">
        <v>0</v>
      </c>
      <c r="L665" s="31">
        <v>0</v>
      </c>
      <c r="M665" s="31">
        <v>0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100000</v>
      </c>
      <c r="AE665" s="31">
        <v>0</v>
      </c>
      <c r="AF665" s="34">
        <v>2021</v>
      </c>
      <c r="AG665" s="34" t="s">
        <v>274</v>
      </c>
      <c r="AH665" s="35" t="s">
        <v>274</v>
      </c>
      <c r="BZ665" s="71"/>
      <c r="CD665" s="20" t="e">
        <f t="shared" si="128"/>
        <v>#N/A</v>
      </c>
    </row>
    <row r="666" spans="1:82" ht="61.5" x14ac:dyDescent="0.85">
      <c r="A666" s="20">
        <v>1</v>
      </c>
      <c r="B666" s="66">
        <f>SUBTOTAL(103,$A$552:A666)</f>
        <v>115</v>
      </c>
      <c r="C666" s="24" t="s">
        <v>615</v>
      </c>
      <c r="D666" s="31">
        <f t="shared" si="122"/>
        <v>100000</v>
      </c>
      <c r="E666" s="31">
        <v>0</v>
      </c>
      <c r="F666" s="31">
        <v>0</v>
      </c>
      <c r="G666" s="31">
        <v>0</v>
      </c>
      <c r="H666" s="31">
        <v>0</v>
      </c>
      <c r="I666" s="31">
        <v>0</v>
      </c>
      <c r="J666" s="31">
        <v>0</v>
      </c>
      <c r="K666" s="33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1">
        <v>100000</v>
      </c>
      <c r="AE666" s="31">
        <v>0</v>
      </c>
      <c r="AF666" s="34">
        <v>2021</v>
      </c>
      <c r="AG666" s="34" t="s">
        <v>274</v>
      </c>
      <c r="AH666" s="35" t="s">
        <v>274</v>
      </c>
      <c r="BZ666" s="71"/>
      <c r="CD666" s="20" t="e">
        <f t="shared" si="128"/>
        <v>#N/A</v>
      </c>
    </row>
    <row r="667" spans="1:82" ht="61.5" x14ac:dyDescent="0.85">
      <c r="A667" s="20">
        <v>1</v>
      </c>
      <c r="B667" s="66">
        <f>SUBTOTAL(103,$A$552:A667)</f>
        <v>116</v>
      </c>
      <c r="C667" s="24" t="s">
        <v>617</v>
      </c>
      <c r="D667" s="31">
        <f t="shared" si="122"/>
        <v>100000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3">
        <v>0</v>
      </c>
      <c r="L667" s="31">
        <v>0</v>
      </c>
      <c r="M667" s="31">
        <v>0</v>
      </c>
      <c r="N667" s="31">
        <v>0</v>
      </c>
      <c r="O667" s="31">
        <v>0</v>
      </c>
      <c r="P667" s="31">
        <v>0</v>
      </c>
      <c r="Q667" s="31">
        <v>0</v>
      </c>
      <c r="R667" s="31">
        <v>0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1">
        <v>0</v>
      </c>
      <c r="AD667" s="31">
        <v>100000</v>
      </c>
      <c r="AE667" s="31">
        <v>0</v>
      </c>
      <c r="AF667" s="34">
        <v>2021</v>
      </c>
      <c r="AG667" s="34" t="s">
        <v>274</v>
      </c>
      <c r="AH667" s="35" t="s">
        <v>274</v>
      </c>
      <c r="BZ667" s="71"/>
      <c r="CD667" s="20" t="e">
        <f t="shared" si="128"/>
        <v>#N/A</v>
      </c>
    </row>
    <row r="668" spans="1:82" ht="61.5" x14ac:dyDescent="0.85">
      <c r="A668" s="20">
        <v>1</v>
      </c>
      <c r="B668" s="66">
        <f>SUBTOTAL(103,$A$552:A668)</f>
        <v>117</v>
      </c>
      <c r="C668" s="24" t="s">
        <v>618</v>
      </c>
      <c r="D668" s="31">
        <f t="shared" si="122"/>
        <v>70000</v>
      </c>
      <c r="E668" s="31">
        <v>0</v>
      </c>
      <c r="F668" s="31">
        <v>0</v>
      </c>
      <c r="G668" s="31">
        <v>0</v>
      </c>
      <c r="H668" s="31">
        <v>0</v>
      </c>
      <c r="I668" s="31">
        <v>0</v>
      </c>
      <c r="J668" s="31">
        <v>0</v>
      </c>
      <c r="K668" s="33">
        <v>0</v>
      </c>
      <c r="L668" s="31">
        <v>0</v>
      </c>
      <c r="M668" s="31">
        <v>0</v>
      </c>
      <c r="N668" s="31">
        <v>0</v>
      </c>
      <c r="O668" s="31">
        <v>0</v>
      </c>
      <c r="P668" s="31">
        <v>0</v>
      </c>
      <c r="Q668" s="31">
        <v>0</v>
      </c>
      <c r="R668" s="31">
        <v>0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1">
        <v>70000</v>
      </c>
      <c r="AE668" s="31">
        <v>0</v>
      </c>
      <c r="AF668" s="34">
        <v>2021</v>
      </c>
      <c r="AG668" s="34" t="s">
        <v>274</v>
      </c>
      <c r="AH668" s="35" t="s">
        <v>274</v>
      </c>
      <c r="BZ668" s="71"/>
      <c r="CD668" s="20" t="e">
        <f t="shared" si="128"/>
        <v>#N/A</v>
      </c>
    </row>
    <row r="669" spans="1:82" ht="61.5" x14ac:dyDescent="0.85">
      <c r="A669" s="20">
        <v>1</v>
      </c>
      <c r="B669" s="66">
        <f>SUBTOTAL(103,$A$552:A669)</f>
        <v>118</v>
      </c>
      <c r="C669" s="24" t="s">
        <v>619</v>
      </c>
      <c r="D669" s="31">
        <f t="shared" si="122"/>
        <v>100000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3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0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1">
        <v>100000</v>
      </c>
      <c r="AE669" s="31">
        <v>0</v>
      </c>
      <c r="AF669" s="34">
        <v>2021</v>
      </c>
      <c r="AG669" s="34" t="s">
        <v>274</v>
      </c>
      <c r="AH669" s="35" t="s">
        <v>274</v>
      </c>
      <c r="BZ669" s="71"/>
      <c r="CD669" s="20" t="e">
        <f t="shared" si="128"/>
        <v>#N/A</v>
      </c>
    </row>
    <row r="670" spans="1:82" ht="61.5" x14ac:dyDescent="0.85">
      <c r="A670" s="20">
        <v>1</v>
      </c>
      <c r="B670" s="66">
        <f>SUBTOTAL(103,$A$552:A670)</f>
        <v>119</v>
      </c>
      <c r="C670" s="24" t="s">
        <v>620</v>
      </c>
      <c r="D670" s="31">
        <f t="shared" si="122"/>
        <v>100000</v>
      </c>
      <c r="E670" s="31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3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1">
        <v>100000</v>
      </c>
      <c r="AE670" s="31">
        <v>0</v>
      </c>
      <c r="AF670" s="34">
        <v>2021</v>
      </c>
      <c r="AG670" s="34" t="s">
        <v>274</v>
      </c>
      <c r="AH670" s="35" t="s">
        <v>274</v>
      </c>
      <c r="BZ670" s="71"/>
      <c r="CD670" s="20" t="e">
        <f t="shared" si="128"/>
        <v>#N/A</v>
      </c>
    </row>
    <row r="671" spans="1:82" ht="61.5" x14ac:dyDescent="0.85">
      <c r="A671" s="20">
        <v>1</v>
      </c>
      <c r="B671" s="66">
        <f>SUBTOTAL(103,$A$552:A671)</f>
        <v>120</v>
      </c>
      <c r="C671" s="24" t="s">
        <v>1409</v>
      </c>
      <c r="D671" s="31">
        <f t="shared" si="122"/>
        <v>163844.70000000001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3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163844.70000000001</v>
      </c>
      <c r="AE671" s="31">
        <v>0</v>
      </c>
      <c r="AF671" s="34">
        <v>2021</v>
      </c>
      <c r="AG671" s="34" t="s">
        <v>274</v>
      </c>
      <c r="AH671" s="35" t="s">
        <v>274</v>
      </c>
      <c r="BZ671" s="71"/>
      <c r="CD671" s="20" t="e">
        <f t="shared" si="128"/>
        <v>#N/A</v>
      </c>
    </row>
    <row r="672" spans="1:82" ht="61.5" x14ac:dyDescent="0.85">
      <c r="A672" s="20">
        <v>1</v>
      </c>
      <c r="B672" s="66">
        <f>SUBTOTAL(103,$A$552:A672)</f>
        <v>121</v>
      </c>
      <c r="C672" s="24" t="s">
        <v>1681</v>
      </c>
      <c r="D672" s="31">
        <f t="shared" si="122"/>
        <v>150000</v>
      </c>
      <c r="E672" s="31">
        <v>0</v>
      </c>
      <c r="F672" s="31">
        <v>0</v>
      </c>
      <c r="G672" s="31">
        <v>0</v>
      </c>
      <c r="H672" s="31">
        <v>0</v>
      </c>
      <c r="I672" s="31">
        <v>0</v>
      </c>
      <c r="J672" s="31">
        <v>0</v>
      </c>
      <c r="K672" s="33">
        <v>0</v>
      </c>
      <c r="L672" s="31">
        <v>0</v>
      </c>
      <c r="M672" s="31">
        <v>0</v>
      </c>
      <c r="N672" s="31">
        <v>0</v>
      </c>
      <c r="O672" s="31">
        <v>0</v>
      </c>
      <c r="P672" s="31">
        <v>0</v>
      </c>
      <c r="Q672" s="31">
        <v>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150000</v>
      </c>
      <c r="AE672" s="31">
        <v>0</v>
      </c>
      <c r="AF672" s="34">
        <v>2021</v>
      </c>
      <c r="AG672" s="34" t="s">
        <v>274</v>
      </c>
      <c r="AH672" s="35" t="s">
        <v>274</v>
      </c>
      <c r="BZ672" s="71"/>
      <c r="CD672" s="20" t="e">
        <f t="shared" si="128"/>
        <v>#N/A</v>
      </c>
    </row>
    <row r="673" spans="1:82" ht="61.5" x14ac:dyDescent="0.85">
      <c r="A673" s="20">
        <v>1</v>
      </c>
      <c r="B673" s="66">
        <f>SUBTOTAL(103,$A$552:A673)</f>
        <v>122</v>
      </c>
      <c r="C673" s="24" t="s">
        <v>1682</v>
      </c>
      <c r="D673" s="31">
        <f t="shared" ref="D673:D683" si="129">E673+F673+G673+H673+I673+J673+L673+N673+P673+R673+T673+U673+V673+W673+X673+Y673+Z673+AA673+AB673+AC673+AD673+AE673</f>
        <v>100000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3">
        <v>0</v>
      </c>
      <c r="L673" s="31">
        <v>0</v>
      </c>
      <c r="M673" s="31">
        <v>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1">
        <v>100000</v>
      </c>
      <c r="AE673" s="31">
        <v>0</v>
      </c>
      <c r="AF673" s="34">
        <v>2021</v>
      </c>
      <c r="AG673" s="34" t="s">
        <v>274</v>
      </c>
      <c r="AH673" s="35" t="s">
        <v>274</v>
      </c>
      <c r="BZ673" s="71"/>
      <c r="CD673" s="20" t="e">
        <f t="shared" si="128"/>
        <v>#N/A</v>
      </c>
    </row>
    <row r="674" spans="1:82" ht="61.5" x14ac:dyDescent="0.85">
      <c r="A674" s="20">
        <v>1</v>
      </c>
      <c r="B674" s="66">
        <f>SUBTOTAL(103,$A$552:A674)</f>
        <v>123</v>
      </c>
      <c r="C674" s="24" t="s">
        <v>622</v>
      </c>
      <c r="D674" s="31">
        <f t="shared" si="129"/>
        <v>100000</v>
      </c>
      <c r="E674" s="31">
        <v>0</v>
      </c>
      <c r="F674" s="31">
        <v>0</v>
      </c>
      <c r="G674" s="31">
        <v>0</v>
      </c>
      <c r="H674" s="31">
        <v>0</v>
      </c>
      <c r="I674" s="31">
        <v>0</v>
      </c>
      <c r="J674" s="31">
        <v>0</v>
      </c>
      <c r="K674" s="33">
        <v>0</v>
      </c>
      <c r="L674" s="31">
        <v>0</v>
      </c>
      <c r="M674" s="31">
        <v>0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1">
        <v>100000</v>
      </c>
      <c r="AE674" s="31">
        <v>0</v>
      </c>
      <c r="AF674" s="34">
        <v>2021</v>
      </c>
      <c r="AG674" s="34" t="s">
        <v>274</v>
      </c>
      <c r="AH674" s="35" t="s">
        <v>274</v>
      </c>
      <c r="BZ674" s="71"/>
      <c r="CD674" s="20" t="e">
        <f t="shared" si="128"/>
        <v>#N/A</v>
      </c>
    </row>
    <row r="675" spans="1:82" ht="61.5" x14ac:dyDescent="0.85">
      <c r="A675" s="20">
        <v>1</v>
      </c>
      <c r="B675" s="66">
        <f>SUBTOTAL(103,$A$552:A675)</f>
        <v>124</v>
      </c>
      <c r="C675" s="24" t="s">
        <v>1664</v>
      </c>
      <c r="D675" s="31">
        <f t="shared" si="129"/>
        <v>100000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3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0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100000</v>
      </c>
      <c r="AE675" s="31">
        <v>0</v>
      </c>
      <c r="AF675" s="34">
        <v>2021</v>
      </c>
      <c r="AG675" s="34" t="s">
        <v>274</v>
      </c>
      <c r="AH675" s="35" t="s">
        <v>274</v>
      </c>
      <c r="BZ675" s="71"/>
      <c r="CD675" s="20" t="e">
        <f t="shared" si="128"/>
        <v>#N/A</v>
      </c>
    </row>
    <row r="676" spans="1:82" ht="61.5" x14ac:dyDescent="0.85">
      <c r="A676" s="20">
        <v>1</v>
      </c>
      <c r="B676" s="66">
        <f>SUBTOTAL(103,$A$552:A676)</f>
        <v>125</v>
      </c>
      <c r="C676" s="24" t="s">
        <v>623</v>
      </c>
      <c r="D676" s="31">
        <f t="shared" si="129"/>
        <v>100000</v>
      </c>
      <c r="E676" s="31">
        <v>0</v>
      </c>
      <c r="F676" s="31">
        <v>0</v>
      </c>
      <c r="G676" s="31">
        <v>0</v>
      </c>
      <c r="H676" s="31">
        <v>0</v>
      </c>
      <c r="I676" s="31">
        <v>0</v>
      </c>
      <c r="J676" s="31">
        <v>0</v>
      </c>
      <c r="K676" s="33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100000</v>
      </c>
      <c r="AE676" s="31">
        <v>0</v>
      </c>
      <c r="AF676" s="34">
        <v>2021</v>
      </c>
      <c r="AG676" s="34" t="s">
        <v>274</v>
      </c>
      <c r="AH676" s="35" t="s">
        <v>274</v>
      </c>
      <c r="BZ676" s="71"/>
      <c r="CD676" s="20" t="e">
        <f t="shared" si="128"/>
        <v>#N/A</v>
      </c>
    </row>
    <row r="677" spans="1:82" ht="61.5" x14ac:dyDescent="0.85">
      <c r="A677" s="20">
        <v>1</v>
      </c>
      <c r="B677" s="66">
        <f>SUBTOTAL(103,$A$552:A677)</f>
        <v>126</v>
      </c>
      <c r="C677" s="24" t="s">
        <v>624</v>
      </c>
      <c r="D677" s="31">
        <f t="shared" si="129"/>
        <v>100000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3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100000</v>
      </c>
      <c r="AE677" s="31">
        <v>0</v>
      </c>
      <c r="AF677" s="34">
        <v>2021</v>
      </c>
      <c r="AG677" s="34" t="s">
        <v>274</v>
      </c>
      <c r="AH677" s="35" t="s">
        <v>274</v>
      </c>
      <c r="BZ677" s="71"/>
      <c r="CD677" s="20" t="e">
        <f t="shared" si="128"/>
        <v>#N/A</v>
      </c>
    </row>
    <row r="678" spans="1:82" ht="61.5" x14ac:dyDescent="0.85">
      <c r="A678" s="20">
        <v>1</v>
      </c>
      <c r="B678" s="66">
        <f>SUBTOTAL(103,$A$552:A678)</f>
        <v>127</v>
      </c>
      <c r="C678" s="24" t="s">
        <v>625</v>
      </c>
      <c r="D678" s="31">
        <f t="shared" si="129"/>
        <v>100000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3">
        <v>0</v>
      </c>
      <c r="L678" s="31">
        <v>0</v>
      </c>
      <c r="M678" s="31">
        <v>0</v>
      </c>
      <c r="N678" s="31">
        <v>0</v>
      </c>
      <c r="O678" s="31">
        <v>0</v>
      </c>
      <c r="P678" s="31">
        <v>0</v>
      </c>
      <c r="Q678" s="31">
        <v>0</v>
      </c>
      <c r="R678" s="31">
        <v>0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0</v>
      </c>
      <c r="AB678" s="31">
        <v>0</v>
      </c>
      <c r="AC678" s="31">
        <v>0</v>
      </c>
      <c r="AD678" s="31">
        <v>100000</v>
      </c>
      <c r="AE678" s="31">
        <v>0</v>
      </c>
      <c r="AF678" s="34">
        <v>2021</v>
      </c>
      <c r="AG678" s="34" t="s">
        <v>274</v>
      </c>
      <c r="AH678" s="35" t="s">
        <v>274</v>
      </c>
      <c r="BZ678" s="71"/>
      <c r="CD678" s="20" t="e">
        <f t="shared" si="128"/>
        <v>#N/A</v>
      </c>
    </row>
    <row r="679" spans="1:82" ht="61.5" x14ac:dyDescent="0.85">
      <c r="A679" s="20">
        <v>1</v>
      </c>
      <c r="B679" s="66">
        <f>SUBTOTAL(103,$A$552:A679)</f>
        <v>128</v>
      </c>
      <c r="C679" s="24" t="s">
        <v>626</v>
      </c>
      <c r="D679" s="31">
        <f t="shared" si="129"/>
        <v>100000</v>
      </c>
      <c r="E679" s="31">
        <v>0</v>
      </c>
      <c r="F679" s="31">
        <v>0</v>
      </c>
      <c r="G679" s="31">
        <v>0</v>
      </c>
      <c r="H679" s="31">
        <v>0</v>
      </c>
      <c r="I679" s="31">
        <v>0</v>
      </c>
      <c r="J679" s="31">
        <v>0</v>
      </c>
      <c r="K679" s="33">
        <v>0</v>
      </c>
      <c r="L679" s="31">
        <v>0</v>
      </c>
      <c r="M679" s="31">
        <v>0</v>
      </c>
      <c r="N679" s="31">
        <v>0</v>
      </c>
      <c r="O679" s="31">
        <v>0</v>
      </c>
      <c r="P679" s="31">
        <v>0</v>
      </c>
      <c r="Q679" s="31">
        <v>0</v>
      </c>
      <c r="R679" s="31">
        <v>0</v>
      </c>
      <c r="S679" s="31">
        <v>0</v>
      </c>
      <c r="T679" s="31">
        <v>0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0</v>
      </c>
      <c r="AA679" s="31">
        <v>0</v>
      </c>
      <c r="AB679" s="31">
        <v>0</v>
      </c>
      <c r="AC679" s="31">
        <v>0</v>
      </c>
      <c r="AD679" s="31">
        <v>100000</v>
      </c>
      <c r="AE679" s="31">
        <v>0</v>
      </c>
      <c r="AF679" s="34">
        <v>2021</v>
      </c>
      <c r="AG679" s="34" t="s">
        <v>274</v>
      </c>
      <c r="AH679" s="35" t="s">
        <v>274</v>
      </c>
      <c r="BZ679" s="71"/>
      <c r="CD679" s="20" t="e">
        <f t="shared" si="128"/>
        <v>#N/A</v>
      </c>
    </row>
    <row r="680" spans="1:82" ht="61.5" x14ac:dyDescent="0.85">
      <c r="A680" s="20">
        <v>1</v>
      </c>
      <c r="B680" s="66">
        <f>SUBTOTAL(103,$A$552:A680)</f>
        <v>129</v>
      </c>
      <c r="C680" s="24" t="s">
        <v>507</v>
      </c>
      <c r="D680" s="31">
        <f t="shared" ref="D680:D681" si="130">E680+F680+G680+H680+I680+J680+L680+N680+P680+R680+T680+U680+V680+W680+X680+Y680+Z680+AA680+AB680+AC680+AD680+AE680</f>
        <v>80000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3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80000</v>
      </c>
      <c r="AE680" s="31">
        <v>0</v>
      </c>
      <c r="AF680" s="34">
        <v>2021</v>
      </c>
      <c r="AG680" s="34" t="s">
        <v>274</v>
      </c>
      <c r="AH680" s="35" t="s">
        <v>274</v>
      </c>
      <c r="BZ680" s="71"/>
      <c r="CD680" s="20" t="e">
        <f t="shared" si="128"/>
        <v>#N/A</v>
      </c>
    </row>
    <row r="681" spans="1:82" ht="61.5" x14ac:dyDescent="0.85">
      <c r="A681" s="20">
        <v>1</v>
      </c>
      <c r="B681" s="66">
        <f>SUBTOTAL(103,$A$552:A681)</f>
        <v>130</v>
      </c>
      <c r="C681" s="24" t="s">
        <v>1095</v>
      </c>
      <c r="D681" s="31">
        <f t="shared" si="130"/>
        <v>100000</v>
      </c>
      <c r="E681" s="31">
        <v>0</v>
      </c>
      <c r="F681" s="31">
        <v>0</v>
      </c>
      <c r="G681" s="31">
        <v>0</v>
      </c>
      <c r="H681" s="31">
        <v>0</v>
      </c>
      <c r="I681" s="31">
        <v>0</v>
      </c>
      <c r="J681" s="31">
        <v>0</v>
      </c>
      <c r="K681" s="33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100000</v>
      </c>
      <c r="AE681" s="31">
        <v>0</v>
      </c>
      <c r="AF681" s="34">
        <v>2021</v>
      </c>
      <c r="AG681" s="34" t="s">
        <v>274</v>
      </c>
      <c r="AH681" s="35" t="s">
        <v>274</v>
      </c>
      <c r="BZ681" s="71"/>
      <c r="CD681" s="20" t="e">
        <f t="shared" si="128"/>
        <v>#N/A</v>
      </c>
    </row>
    <row r="682" spans="1:82" s="155" customFormat="1" ht="61.5" x14ac:dyDescent="0.85">
      <c r="A682" s="155">
        <v>1</v>
      </c>
      <c r="B682" s="66">
        <f>SUBTOTAL(103,$A$552:A682)</f>
        <v>131</v>
      </c>
      <c r="C682" s="24" t="s">
        <v>1734</v>
      </c>
      <c r="D682" s="31">
        <f t="shared" si="129"/>
        <v>101500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3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1">
        <v>101500</v>
      </c>
      <c r="AE682" s="31">
        <v>0</v>
      </c>
      <c r="AF682" s="34">
        <v>2021</v>
      </c>
      <c r="AG682" s="34" t="s">
        <v>274</v>
      </c>
      <c r="AH682" s="35" t="s">
        <v>274</v>
      </c>
      <c r="AI682" s="20"/>
      <c r="AJ682" s="20"/>
      <c r="AK682" s="20"/>
      <c r="AL682" s="20"/>
      <c r="BZ682" s="156"/>
      <c r="CD682" s="155" t="e">
        <f t="shared" si="128"/>
        <v>#N/A</v>
      </c>
    </row>
    <row r="683" spans="1:82" s="155" customFormat="1" ht="61.5" x14ac:dyDescent="0.85">
      <c r="A683" s="155">
        <v>1</v>
      </c>
      <c r="B683" s="66">
        <f>SUBTOTAL(103,$A$552:A683)</f>
        <v>132</v>
      </c>
      <c r="C683" s="24" t="s">
        <v>1735</v>
      </c>
      <c r="D683" s="31">
        <f t="shared" si="129"/>
        <v>100000</v>
      </c>
      <c r="E683" s="31">
        <v>0</v>
      </c>
      <c r="F683" s="31">
        <v>0</v>
      </c>
      <c r="G683" s="31">
        <v>0</v>
      </c>
      <c r="H683" s="31">
        <v>0</v>
      </c>
      <c r="I683" s="31">
        <v>0</v>
      </c>
      <c r="J683" s="31">
        <v>0</v>
      </c>
      <c r="K683" s="33">
        <v>0</v>
      </c>
      <c r="L683" s="31">
        <v>0</v>
      </c>
      <c r="M683" s="31">
        <v>0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1">
        <v>100000</v>
      </c>
      <c r="AE683" s="31">
        <v>0</v>
      </c>
      <c r="AF683" s="34">
        <v>2021</v>
      </c>
      <c r="AG683" s="34" t="s">
        <v>274</v>
      </c>
      <c r="AH683" s="35" t="s">
        <v>274</v>
      </c>
      <c r="AI683" s="20"/>
      <c r="AJ683" s="20"/>
      <c r="AK683" s="20"/>
      <c r="AL683" s="20"/>
      <c r="BZ683" s="156"/>
      <c r="CD683" s="155" t="e">
        <f t="shared" si="128"/>
        <v>#N/A</v>
      </c>
    </row>
    <row r="684" spans="1:82" ht="61.5" x14ac:dyDescent="0.85">
      <c r="B684" s="24" t="s">
        <v>781</v>
      </c>
      <c r="C684" s="129"/>
      <c r="D684" s="31">
        <f>SUM(D685:D702)</f>
        <v>61321206.579999998</v>
      </c>
      <c r="E684" s="31">
        <f t="shared" ref="E684:AE684" si="131">SUM(E685:E702)</f>
        <v>215356.42</v>
      </c>
      <c r="F684" s="31">
        <f t="shared" si="131"/>
        <v>0</v>
      </c>
      <c r="G684" s="31">
        <f t="shared" si="131"/>
        <v>2456692.4499999997</v>
      </c>
      <c r="H684" s="31">
        <f t="shared" si="131"/>
        <v>0</v>
      </c>
      <c r="I684" s="31">
        <f t="shared" si="131"/>
        <v>485121.6</v>
      </c>
      <c r="J684" s="31">
        <f t="shared" si="131"/>
        <v>0</v>
      </c>
      <c r="K684" s="33">
        <f t="shared" si="131"/>
        <v>0</v>
      </c>
      <c r="L684" s="31">
        <f t="shared" si="131"/>
        <v>0</v>
      </c>
      <c r="M684" s="31">
        <f t="shared" si="131"/>
        <v>11628.17</v>
      </c>
      <c r="N684" s="31">
        <f t="shared" si="131"/>
        <v>52610147.409999996</v>
      </c>
      <c r="O684" s="31">
        <f t="shared" si="131"/>
        <v>0</v>
      </c>
      <c r="P684" s="31">
        <f t="shared" si="131"/>
        <v>0</v>
      </c>
      <c r="Q684" s="31">
        <f t="shared" si="131"/>
        <v>848.54</v>
      </c>
      <c r="R684" s="31">
        <f t="shared" si="131"/>
        <v>2342243.7599999998</v>
      </c>
      <c r="S684" s="31">
        <f t="shared" si="131"/>
        <v>0</v>
      </c>
      <c r="T684" s="31">
        <f t="shared" si="131"/>
        <v>0</v>
      </c>
      <c r="U684" s="31">
        <f t="shared" si="131"/>
        <v>0</v>
      </c>
      <c r="V684" s="31">
        <f t="shared" si="131"/>
        <v>0</v>
      </c>
      <c r="W684" s="31">
        <f t="shared" si="131"/>
        <v>0</v>
      </c>
      <c r="X684" s="31">
        <f t="shared" si="131"/>
        <v>0</v>
      </c>
      <c r="Y684" s="31">
        <f t="shared" si="131"/>
        <v>0</v>
      </c>
      <c r="Z684" s="31">
        <f t="shared" si="131"/>
        <v>0</v>
      </c>
      <c r="AA684" s="31">
        <f t="shared" si="131"/>
        <v>0</v>
      </c>
      <c r="AB684" s="31">
        <f t="shared" si="131"/>
        <v>0</v>
      </c>
      <c r="AC684" s="31">
        <f t="shared" si="131"/>
        <v>871643.43999999983</v>
      </c>
      <c r="AD684" s="31">
        <f t="shared" si="131"/>
        <v>2340001.5</v>
      </c>
      <c r="AE684" s="31">
        <f t="shared" si="131"/>
        <v>0</v>
      </c>
      <c r="AF684" s="72" t="s">
        <v>776</v>
      </c>
      <c r="AG684" s="72" t="s">
        <v>776</v>
      </c>
      <c r="AH684" s="88" t="s">
        <v>776</v>
      </c>
      <c r="AT684" s="20" t="e">
        <f t="shared" ref="AT684:AT697" si="132">VLOOKUP(C684,AW:AX,2,FALSE)</f>
        <v>#N/A</v>
      </c>
      <c r="BZ684" s="71">
        <v>53022412.590000004</v>
      </c>
      <c r="CB684" s="71">
        <f>BZ684-D684</f>
        <v>-8298793.9899999946</v>
      </c>
      <c r="CD684" s="20" t="e">
        <f t="shared" si="128"/>
        <v>#N/A</v>
      </c>
    </row>
    <row r="685" spans="1:82" ht="61.5" x14ac:dyDescent="0.85">
      <c r="A685" s="20">
        <v>1</v>
      </c>
      <c r="B685" s="66">
        <f>SUBTOTAL(103,$A$552:A685)</f>
        <v>133</v>
      </c>
      <c r="C685" s="24" t="s">
        <v>466</v>
      </c>
      <c r="D685" s="31">
        <f t="shared" ref="D685:D695" si="133">E685+F685+G685+H685+I685+J685+L685+N685+P685+R685+T685+U685+V685+W685+X685+Y685+Z685+AA685+AB685+AC685+AD685+AE685</f>
        <v>3616357.54</v>
      </c>
      <c r="E685" s="31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33">
        <v>0</v>
      </c>
      <c r="L685" s="31">
        <v>0</v>
      </c>
      <c r="M685" s="31">
        <v>620.9</v>
      </c>
      <c r="N685" s="31">
        <v>3415130.58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f>ROUND(N685*1.5%,2)</f>
        <v>51226.96</v>
      </c>
      <c r="AD685" s="31">
        <v>150000</v>
      </c>
      <c r="AE685" s="31">
        <v>0</v>
      </c>
      <c r="AF685" s="34">
        <v>2021</v>
      </c>
      <c r="AG685" s="34">
        <v>2021</v>
      </c>
      <c r="AH685" s="35">
        <v>2021</v>
      </c>
      <c r="AT685" s="20" t="e">
        <f t="shared" si="132"/>
        <v>#N/A</v>
      </c>
      <c r="BZ685" s="71"/>
      <c r="CD685" s="20" t="e">
        <f t="shared" si="128"/>
        <v>#N/A</v>
      </c>
    </row>
    <row r="686" spans="1:82" ht="61.5" x14ac:dyDescent="0.85">
      <c r="A686" s="20">
        <v>1</v>
      </c>
      <c r="B686" s="66">
        <f>SUBTOTAL(103,$A$552:A686)</f>
        <v>134</v>
      </c>
      <c r="C686" s="24" t="s">
        <v>467</v>
      </c>
      <c r="D686" s="31">
        <f t="shared" si="133"/>
        <v>1638422.64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3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439.04</v>
      </c>
      <c r="R686" s="31">
        <v>1486130.68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f>ROUND(R686*1.5%,2)</f>
        <v>22291.96</v>
      </c>
      <c r="AD686" s="31">
        <v>130000</v>
      </c>
      <c r="AE686" s="31">
        <v>0</v>
      </c>
      <c r="AF686" s="34">
        <v>2021</v>
      </c>
      <c r="AG686" s="34">
        <v>2021</v>
      </c>
      <c r="AH686" s="35">
        <v>2021</v>
      </c>
      <c r="AT686" s="20" t="e">
        <f t="shared" si="132"/>
        <v>#N/A</v>
      </c>
      <c r="BZ686" s="71"/>
      <c r="CD686" s="20" t="e">
        <f t="shared" si="128"/>
        <v>#N/A</v>
      </c>
    </row>
    <row r="687" spans="1:82" ht="61.5" x14ac:dyDescent="0.85">
      <c r="A687" s="20">
        <v>1</v>
      </c>
      <c r="B687" s="66">
        <f>SUBTOTAL(103,$A$552:A687)</f>
        <v>135</v>
      </c>
      <c r="C687" s="24" t="s">
        <v>468</v>
      </c>
      <c r="D687" s="31">
        <f t="shared" si="133"/>
        <v>4857938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3">
        <v>0</v>
      </c>
      <c r="L687" s="31">
        <v>0</v>
      </c>
      <c r="M687" s="31">
        <v>886</v>
      </c>
      <c r="N687" s="31">
        <v>4638362.5599999996</v>
      </c>
      <c r="O687" s="31">
        <v>0</v>
      </c>
      <c r="P687" s="31">
        <v>0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1">
        <f>ROUND(N687*1.5%,2)</f>
        <v>69575.44</v>
      </c>
      <c r="AD687" s="31">
        <v>150000</v>
      </c>
      <c r="AE687" s="31">
        <v>0</v>
      </c>
      <c r="AF687" s="34">
        <v>2021</v>
      </c>
      <c r="AG687" s="34">
        <v>2021</v>
      </c>
      <c r="AH687" s="35">
        <v>2021</v>
      </c>
      <c r="AT687" s="20" t="e">
        <f t="shared" si="132"/>
        <v>#N/A</v>
      </c>
      <c r="BZ687" s="71"/>
      <c r="CD687" s="20" t="e">
        <f t="shared" si="128"/>
        <v>#N/A</v>
      </c>
    </row>
    <row r="688" spans="1:82" ht="61.5" x14ac:dyDescent="0.85">
      <c r="A688" s="20">
        <v>1</v>
      </c>
      <c r="B688" s="66">
        <f>SUBTOTAL(103,$A$552:A688)</f>
        <v>136</v>
      </c>
      <c r="C688" s="24" t="s">
        <v>469</v>
      </c>
      <c r="D688" s="31">
        <f t="shared" si="133"/>
        <v>3345121.12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3">
        <v>0</v>
      </c>
      <c r="L688" s="31">
        <v>0</v>
      </c>
      <c r="M688" s="31">
        <v>604</v>
      </c>
      <c r="N688" s="31">
        <v>3147902.58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f>ROUND(N688*1.5%,2)</f>
        <v>47218.54</v>
      </c>
      <c r="AD688" s="31">
        <v>150000</v>
      </c>
      <c r="AE688" s="31">
        <v>0</v>
      </c>
      <c r="AF688" s="34">
        <v>2021</v>
      </c>
      <c r="AG688" s="34">
        <v>2021</v>
      </c>
      <c r="AH688" s="35">
        <v>2021</v>
      </c>
      <c r="AT688" s="20" t="e">
        <f t="shared" si="132"/>
        <v>#N/A</v>
      </c>
      <c r="BZ688" s="71"/>
      <c r="CD688" s="20" t="e">
        <f t="shared" si="128"/>
        <v>#N/A</v>
      </c>
    </row>
    <row r="689" spans="1:82" ht="61.5" x14ac:dyDescent="0.85">
      <c r="A689" s="20">
        <v>1</v>
      </c>
      <c r="B689" s="66">
        <f>SUBTOTAL(103,$A$552:A689)</f>
        <v>137</v>
      </c>
      <c r="C689" s="24" t="s">
        <v>470</v>
      </c>
      <c r="D689" s="31">
        <f t="shared" si="133"/>
        <v>3345121.12</v>
      </c>
      <c r="E689" s="31">
        <v>0</v>
      </c>
      <c r="F689" s="31">
        <v>0</v>
      </c>
      <c r="G689" s="31">
        <v>0</v>
      </c>
      <c r="H689" s="31">
        <v>0</v>
      </c>
      <c r="I689" s="31">
        <v>0</v>
      </c>
      <c r="J689" s="31">
        <v>0</v>
      </c>
      <c r="K689" s="33">
        <v>0</v>
      </c>
      <c r="L689" s="31">
        <v>0</v>
      </c>
      <c r="M689" s="31">
        <v>604</v>
      </c>
      <c r="N689" s="31">
        <v>3147902.58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f>ROUND(N689*1.5%,2)</f>
        <v>47218.54</v>
      </c>
      <c r="AD689" s="31">
        <v>150000</v>
      </c>
      <c r="AE689" s="31">
        <v>0</v>
      </c>
      <c r="AF689" s="34">
        <v>2021</v>
      </c>
      <c r="AG689" s="34">
        <v>2021</v>
      </c>
      <c r="AH689" s="35">
        <v>2021</v>
      </c>
      <c r="AT689" s="20" t="e">
        <f t="shared" si="132"/>
        <v>#N/A</v>
      </c>
      <c r="BZ689" s="71"/>
      <c r="CD689" s="20" t="e">
        <f t="shared" si="128"/>
        <v>#N/A</v>
      </c>
    </row>
    <row r="690" spans="1:82" ht="61.5" x14ac:dyDescent="0.85">
      <c r="A690" s="20">
        <v>1</v>
      </c>
      <c r="B690" s="66">
        <f>SUBTOTAL(103,$A$552:A690)</f>
        <v>138</v>
      </c>
      <c r="C690" s="24" t="s">
        <v>471</v>
      </c>
      <c r="D690" s="31">
        <f t="shared" si="133"/>
        <v>3589208.68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3">
        <v>0</v>
      </c>
      <c r="L690" s="31">
        <v>0</v>
      </c>
      <c r="M690" s="31">
        <v>723.24</v>
      </c>
      <c r="N690" s="31">
        <v>3388382.94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f>ROUND(N690*1.5%,2)</f>
        <v>50825.74</v>
      </c>
      <c r="AD690" s="31">
        <v>150000</v>
      </c>
      <c r="AE690" s="31">
        <v>0</v>
      </c>
      <c r="AF690" s="34">
        <v>2021</v>
      </c>
      <c r="AG690" s="34">
        <v>2021</v>
      </c>
      <c r="AH690" s="35">
        <v>2021</v>
      </c>
      <c r="AT690" s="20" t="e">
        <f t="shared" si="132"/>
        <v>#N/A</v>
      </c>
      <c r="BZ690" s="71"/>
      <c r="CD690" s="20" t="e">
        <f t="shared" si="128"/>
        <v>#N/A</v>
      </c>
    </row>
    <row r="691" spans="1:82" ht="61.5" x14ac:dyDescent="0.85">
      <c r="A691" s="20">
        <v>1</v>
      </c>
      <c r="B691" s="66">
        <f>SUBTOTAL(103,$A$552:A691)</f>
        <v>139</v>
      </c>
      <c r="C691" s="24" t="s">
        <v>472</v>
      </c>
      <c r="D691" s="31">
        <f t="shared" si="133"/>
        <v>998954.77999999991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3">
        <v>0</v>
      </c>
      <c r="L691" s="31">
        <v>0</v>
      </c>
      <c r="M691" s="31">
        <v>0</v>
      </c>
      <c r="N691" s="31">
        <v>0</v>
      </c>
      <c r="O691" s="31">
        <v>0</v>
      </c>
      <c r="P691" s="31">
        <v>0</v>
      </c>
      <c r="Q691" s="31">
        <v>409.5</v>
      </c>
      <c r="R691" s="31">
        <v>856113.08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f>ROUND(R691*1.5%,2)</f>
        <v>12841.7</v>
      </c>
      <c r="AD691" s="31">
        <v>130000</v>
      </c>
      <c r="AE691" s="31">
        <v>0</v>
      </c>
      <c r="AF691" s="34">
        <v>2021</v>
      </c>
      <c r="AG691" s="34">
        <v>2021</v>
      </c>
      <c r="AH691" s="35">
        <v>2021</v>
      </c>
      <c r="AT691" s="20" t="e">
        <f t="shared" si="132"/>
        <v>#N/A</v>
      </c>
      <c r="BZ691" s="71"/>
      <c r="CD691" s="20" t="e">
        <f t="shared" si="128"/>
        <v>#N/A</v>
      </c>
    </row>
    <row r="692" spans="1:82" ht="61.5" x14ac:dyDescent="0.85">
      <c r="A692" s="20">
        <v>1</v>
      </c>
      <c r="B692" s="66">
        <f>SUBTOTAL(103,$A$552:A692)</f>
        <v>140</v>
      </c>
      <c r="C692" s="24" t="s">
        <v>475</v>
      </c>
      <c r="D692" s="31">
        <f t="shared" si="133"/>
        <v>3504528.03</v>
      </c>
      <c r="E692" s="31">
        <f>177249.6+38106.82</f>
        <v>215356.42</v>
      </c>
      <c r="F692" s="31">
        <v>0</v>
      </c>
      <c r="G692" s="31">
        <v>2456692.4499999997</v>
      </c>
      <c r="H692" s="31">
        <v>0</v>
      </c>
      <c r="I692" s="31">
        <v>485121.6</v>
      </c>
      <c r="J692" s="31">
        <v>0</v>
      </c>
      <c r="K692" s="33">
        <v>0</v>
      </c>
      <c r="L692" s="31">
        <v>0</v>
      </c>
      <c r="M692" s="31">
        <v>0</v>
      </c>
      <c r="N692" s="31">
        <v>0</v>
      </c>
      <c r="O692" s="31">
        <v>0</v>
      </c>
      <c r="P692" s="31">
        <v>0</v>
      </c>
      <c r="Q692" s="31">
        <v>0</v>
      </c>
      <c r="R692" s="31">
        <v>0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f>ROUND((E692+F692+G692+H692+I692+J692)*1.5%,2)</f>
        <v>47357.56</v>
      </c>
      <c r="AD692" s="31">
        <v>300000</v>
      </c>
      <c r="AE692" s="31">
        <v>0</v>
      </c>
      <c r="AF692" s="34">
        <v>2021</v>
      </c>
      <c r="AG692" s="34">
        <v>2021</v>
      </c>
      <c r="AH692" s="35">
        <v>2021</v>
      </c>
      <c r="AT692" s="20" t="e">
        <f t="shared" si="132"/>
        <v>#N/A</v>
      </c>
      <c r="BZ692" s="71"/>
      <c r="CD692" s="20" t="e">
        <f t="shared" si="128"/>
        <v>#N/A</v>
      </c>
    </row>
    <row r="693" spans="1:82" ht="61.5" x14ac:dyDescent="0.85">
      <c r="A693" s="20">
        <v>1</v>
      </c>
      <c r="B693" s="66">
        <f>SUBTOTAL(103,$A$552:A693)</f>
        <v>141</v>
      </c>
      <c r="C693" s="24" t="s">
        <v>476</v>
      </c>
      <c r="D693" s="31">
        <f t="shared" si="133"/>
        <v>7806669.5300000003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3">
        <v>0</v>
      </c>
      <c r="L693" s="31">
        <v>0</v>
      </c>
      <c r="M693" s="31">
        <v>3073.45</v>
      </c>
      <c r="N693" s="31">
        <v>7513960.1299999999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f>ROUND(N693*1.5%,2)</f>
        <v>112709.4</v>
      </c>
      <c r="AD693" s="31">
        <v>180000</v>
      </c>
      <c r="AE693" s="31">
        <v>0</v>
      </c>
      <c r="AF693" s="34">
        <v>2021</v>
      </c>
      <c r="AG693" s="34">
        <v>2021</v>
      </c>
      <c r="AH693" s="35">
        <v>2021</v>
      </c>
      <c r="AT693" s="20" t="e">
        <f t="shared" si="132"/>
        <v>#N/A</v>
      </c>
      <c r="BZ693" s="71"/>
      <c r="CD693" s="20" t="e">
        <f t="shared" si="128"/>
        <v>#N/A</v>
      </c>
    </row>
    <row r="694" spans="1:82" ht="61.5" x14ac:dyDescent="0.85">
      <c r="A694" s="20">
        <v>1</v>
      </c>
      <c r="B694" s="66">
        <f>SUBTOTAL(103,$A$552:A694)</f>
        <v>142</v>
      </c>
      <c r="C694" s="24" t="s">
        <v>455</v>
      </c>
      <c r="D694" s="31">
        <f t="shared" si="133"/>
        <v>2928184.83</v>
      </c>
      <c r="E694" s="31">
        <v>0</v>
      </c>
      <c r="F694" s="31">
        <v>0</v>
      </c>
      <c r="G694" s="31">
        <v>0</v>
      </c>
      <c r="H694" s="31">
        <v>0</v>
      </c>
      <c r="I694" s="31">
        <v>0</v>
      </c>
      <c r="J694" s="31">
        <v>0</v>
      </c>
      <c r="K694" s="33">
        <v>0</v>
      </c>
      <c r="L694" s="31">
        <v>0</v>
      </c>
      <c r="M694" s="31">
        <v>528.5</v>
      </c>
      <c r="N694" s="31">
        <v>2884911.16</v>
      </c>
      <c r="O694" s="31">
        <v>0</v>
      </c>
      <c r="P694" s="31">
        <v>0</v>
      </c>
      <c r="Q694" s="31">
        <v>0</v>
      </c>
      <c r="R694" s="31">
        <v>0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f>ROUND(N694*1.5%,2)</f>
        <v>43273.67</v>
      </c>
      <c r="AD694" s="31">
        <v>0</v>
      </c>
      <c r="AE694" s="31">
        <v>0</v>
      </c>
      <c r="AF694" s="34" t="s">
        <v>274</v>
      </c>
      <c r="AG694" s="34">
        <v>2021</v>
      </c>
      <c r="AH694" s="35">
        <v>2021</v>
      </c>
      <c r="AT694" s="20" t="e">
        <f t="shared" si="132"/>
        <v>#N/A</v>
      </c>
      <c r="BZ694" s="71"/>
      <c r="CD694" s="20" t="e">
        <f t="shared" si="128"/>
        <v>#N/A</v>
      </c>
    </row>
    <row r="695" spans="1:82" ht="61.5" x14ac:dyDescent="0.85">
      <c r="A695" s="20">
        <v>1</v>
      </c>
      <c r="B695" s="66">
        <f>SUBTOTAL(103,$A$552:A695)</f>
        <v>143</v>
      </c>
      <c r="C695" s="24" t="s">
        <v>456</v>
      </c>
      <c r="D695" s="31">
        <f t="shared" si="133"/>
        <v>4800723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3">
        <v>0</v>
      </c>
      <c r="L695" s="31">
        <v>0</v>
      </c>
      <c r="M695" s="31">
        <v>850</v>
      </c>
      <c r="N695" s="31">
        <v>4729776.3499999996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f>ROUND(N695*1.5%,2)</f>
        <v>70946.649999999994</v>
      </c>
      <c r="AD695" s="31">
        <v>0</v>
      </c>
      <c r="AE695" s="31">
        <v>0</v>
      </c>
      <c r="AF695" s="34" t="s">
        <v>274</v>
      </c>
      <c r="AG695" s="34">
        <v>2021</v>
      </c>
      <c r="AH695" s="35">
        <v>2021</v>
      </c>
      <c r="AT695" s="20" t="e">
        <f t="shared" si="132"/>
        <v>#N/A</v>
      </c>
      <c r="BZ695" s="71"/>
      <c r="CD695" s="20" t="e">
        <f t="shared" si="128"/>
        <v>#N/A</v>
      </c>
    </row>
    <row r="696" spans="1:82" ht="61.5" x14ac:dyDescent="0.85">
      <c r="A696" s="20">
        <v>1</v>
      </c>
      <c r="B696" s="66">
        <f>SUBTOTAL(103,$A$552:A696)</f>
        <v>144</v>
      </c>
      <c r="C696" s="24" t="s">
        <v>1315</v>
      </c>
      <c r="D696" s="31">
        <f t="shared" ref="D696:D700" si="134">E696+F696+G696+H696+I696+J696+L696+N696+P696+R696+T696+U696+V696+W696+X696+Y696+Z696+AA696+AB696+AC696+AD696+AE696</f>
        <v>3973949.34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3">
        <v>0</v>
      </c>
      <c r="L696" s="31">
        <v>0</v>
      </c>
      <c r="M696" s="31">
        <v>716.68</v>
      </c>
      <c r="N696" s="31">
        <v>3767437.77</v>
      </c>
      <c r="O696" s="31">
        <v>0</v>
      </c>
      <c r="P696" s="31">
        <v>0</v>
      </c>
      <c r="Q696" s="31">
        <v>0</v>
      </c>
      <c r="R696" s="31">
        <v>0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f t="shared" ref="AC696:AC700" si="135">ROUND(N696*1.5%,2)</f>
        <v>56511.57</v>
      </c>
      <c r="AD696" s="31">
        <v>150000</v>
      </c>
      <c r="AE696" s="31">
        <v>0</v>
      </c>
      <c r="AF696" s="34">
        <v>2021</v>
      </c>
      <c r="AG696" s="34">
        <v>2021</v>
      </c>
      <c r="AH696" s="35">
        <v>2021</v>
      </c>
      <c r="AT696" s="20" t="e">
        <f t="shared" si="132"/>
        <v>#N/A</v>
      </c>
      <c r="BZ696" s="71"/>
      <c r="CD696" s="20" t="e">
        <f t="shared" si="128"/>
        <v>#N/A</v>
      </c>
    </row>
    <row r="697" spans="1:82" ht="61.5" x14ac:dyDescent="0.85">
      <c r="A697" s="20">
        <v>1</v>
      </c>
      <c r="B697" s="66">
        <f>SUBTOTAL(103,$A$552:A697)</f>
        <v>145</v>
      </c>
      <c r="C697" s="24" t="s">
        <v>474</v>
      </c>
      <c r="D697" s="31">
        <f t="shared" si="134"/>
        <v>3793636.92</v>
      </c>
      <c r="E697" s="31">
        <v>0</v>
      </c>
      <c r="F697" s="31">
        <v>0</v>
      </c>
      <c r="G697" s="31">
        <v>0</v>
      </c>
      <c r="H697" s="31">
        <v>0</v>
      </c>
      <c r="I697" s="31">
        <v>0</v>
      </c>
      <c r="J697" s="31">
        <v>0</v>
      </c>
      <c r="K697" s="33">
        <v>0</v>
      </c>
      <c r="L697" s="31">
        <v>0</v>
      </c>
      <c r="M697" s="31">
        <v>724</v>
      </c>
      <c r="N697" s="31">
        <v>3589790.07</v>
      </c>
      <c r="O697" s="31">
        <v>0</v>
      </c>
      <c r="P697" s="31">
        <v>0</v>
      </c>
      <c r="Q697" s="31">
        <v>0</v>
      </c>
      <c r="R697" s="31">
        <v>0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f t="shared" si="135"/>
        <v>53846.85</v>
      </c>
      <c r="AD697" s="31">
        <v>150000</v>
      </c>
      <c r="AE697" s="31">
        <v>0</v>
      </c>
      <c r="AF697" s="34">
        <v>2021</v>
      </c>
      <c r="AG697" s="34">
        <v>2021</v>
      </c>
      <c r="AH697" s="35">
        <v>2021</v>
      </c>
      <c r="AT697" s="20" t="e">
        <f t="shared" si="132"/>
        <v>#N/A</v>
      </c>
      <c r="BZ697" s="71"/>
      <c r="CD697" s="20" t="e">
        <f t="shared" si="128"/>
        <v>#N/A</v>
      </c>
    </row>
    <row r="698" spans="1:82" ht="61.5" x14ac:dyDescent="0.85">
      <c r="A698" s="20">
        <v>1</v>
      </c>
      <c r="B698" s="66">
        <f>SUBTOTAL(103,$A$552:A698)</f>
        <v>146</v>
      </c>
      <c r="C698" s="24" t="s">
        <v>1670</v>
      </c>
      <c r="D698" s="31">
        <f t="shared" si="134"/>
        <v>3607695.84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3">
        <v>0</v>
      </c>
      <c r="L698" s="31">
        <v>0</v>
      </c>
      <c r="M698" s="31">
        <v>627.6</v>
      </c>
      <c r="N698" s="31">
        <v>3436153.54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f t="shared" si="135"/>
        <v>51542.3</v>
      </c>
      <c r="AD698" s="31">
        <v>120000</v>
      </c>
      <c r="AE698" s="31">
        <v>0</v>
      </c>
      <c r="AF698" s="34">
        <v>2021</v>
      </c>
      <c r="AG698" s="34">
        <v>2021</v>
      </c>
      <c r="AH698" s="35">
        <v>2021</v>
      </c>
      <c r="BZ698" s="71"/>
      <c r="CD698" s="20" t="e">
        <f t="shared" si="128"/>
        <v>#N/A</v>
      </c>
    </row>
    <row r="699" spans="1:82" ht="61.5" x14ac:dyDescent="0.85">
      <c r="A699" s="20">
        <v>1</v>
      </c>
      <c r="B699" s="66">
        <f>SUBTOTAL(103,$A$552:A699)</f>
        <v>147</v>
      </c>
      <c r="C699" s="24" t="s">
        <v>1671</v>
      </c>
      <c r="D699" s="31">
        <f t="shared" si="134"/>
        <v>1597480.36</v>
      </c>
      <c r="E699" s="31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33">
        <v>0</v>
      </c>
      <c r="L699" s="31">
        <v>0</v>
      </c>
      <c r="M699" s="31">
        <v>277.89999999999998</v>
      </c>
      <c r="N699" s="31">
        <v>1495054.54</v>
      </c>
      <c r="O699" s="31">
        <v>0</v>
      </c>
      <c r="P699" s="31">
        <v>0</v>
      </c>
      <c r="Q699" s="31">
        <v>0</v>
      </c>
      <c r="R699" s="31">
        <v>0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f t="shared" si="135"/>
        <v>22425.82</v>
      </c>
      <c r="AD699" s="31">
        <v>80000</v>
      </c>
      <c r="AE699" s="31">
        <v>0</v>
      </c>
      <c r="AF699" s="34">
        <v>2021</v>
      </c>
      <c r="AG699" s="34">
        <v>2021</v>
      </c>
      <c r="AH699" s="35">
        <v>2021</v>
      </c>
      <c r="BZ699" s="71"/>
      <c r="CD699" s="20" t="e">
        <f t="shared" si="128"/>
        <v>#N/A</v>
      </c>
    </row>
    <row r="700" spans="1:82" ht="61.5" x14ac:dyDescent="0.85">
      <c r="A700" s="20">
        <v>1</v>
      </c>
      <c r="B700" s="66">
        <f>SUBTOTAL(103,$A$552:A700)</f>
        <v>148</v>
      </c>
      <c r="C700" s="24" t="s">
        <v>1672</v>
      </c>
      <c r="D700" s="31">
        <f t="shared" si="134"/>
        <v>3132303.1599999997</v>
      </c>
      <c r="E700" s="31">
        <v>0</v>
      </c>
      <c r="F700" s="31">
        <v>0</v>
      </c>
      <c r="G700" s="31">
        <v>0</v>
      </c>
      <c r="H700" s="31">
        <v>0</v>
      </c>
      <c r="I700" s="31">
        <v>0</v>
      </c>
      <c r="J700" s="31">
        <v>0</v>
      </c>
      <c r="K700" s="33">
        <v>0</v>
      </c>
      <c r="L700" s="31">
        <v>0</v>
      </c>
      <c r="M700" s="31">
        <v>544.9</v>
      </c>
      <c r="N700" s="31">
        <v>2987490.8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f t="shared" si="135"/>
        <v>44812.36</v>
      </c>
      <c r="AD700" s="31">
        <v>100000</v>
      </c>
      <c r="AE700" s="31">
        <v>0</v>
      </c>
      <c r="AF700" s="34">
        <v>2021</v>
      </c>
      <c r="AG700" s="34">
        <v>2021</v>
      </c>
      <c r="AH700" s="35">
        <v>2021</v>
      </c>
      <c r="BZ700" s="71"/>
      <c r="CD700" s="20" t="e">
        <f t="shared" si="128"/>
        <v>#N/A</v>
      </c>
    </row>
    <row r="701" spans="1:82" ht="61.5" x14ac:dyDescent="0.85">
      <c r="A701" s="20">
        <v>1</v>
      </c>
      <c r="B701" s="66">
        <f>SUBTOTAL(103,$A$552:A701)</f>
        <v>149</v>
      </c>
      <c r="C701" s="24" t="s">
        <v>1673</v>
      </c>
      <c r="D701" s="31">
        <f t="shared" ref="D701:D702" si="136">E701+F701+G701+H701+I701+J701+L701+N701+P701+R701+T701+U701+V701+W701+X701+Y701+Z701+AA701+AB701+AC701+AD701+AE701</f>
        <v>1937212.2999999998</v>
      </c>
      <c r="E701" s="31">
        <v>0</v>
      </c>
      <c r="F701" s="31">
        <v>0</v>
      </c>
      <c r="G701" s="31">
        <v>0</v>
      </c>
      <c r="H701" s="31">
        <v>0</v>
      </c>
      <c r="I701" s="31">
        <v>0</v>
      </c>
      <c r="J701" s="31">
        <v>0</v>
      </c>
      <c r="K701" s="33">
        <v>0</v>
      </c>
      <c r="L701" s="31">
        <v>0</v>
      </c>
      <c r="M701" s="31">
        <v>337</v>
      </c>
      <c r="N701" s="31">
        <v>1810059.9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f t="shared" ref="AC701:AC702" si="137">ROUND(N701*1.5%,2)</f>
        <v>27150.9</v>
      </c>
      <c r="AD701" s="31">
        <f>100000+1.5</f>
        <v>100001.5</v>
      </c>
      <c r="AE701" s="31">
        <v>0</v>
      </c>
      <c r="AF701" s="34">
        <v>2021</v>
      </c>
      <c r="AG701" s="34">
        <v>2021</v>
      </c>
      <c r="AH701" s="35">
        <v>2021</v>
      </c>
      <c r="BZ701" s="71"/>
      <c r="CD701" s="20" t="e">
        <f t="shared" si="128"/>
        <v>#N/A</v>
      </c>
    </row>
    <row r="702" spans="1:82" ht="61.5" x14ac:dyDescent="0.85">
      <c r="A702" s="20">
        <v>1</v>
      </c>
      <c r="B702" s="66">
        <f>SUBTOTAL(103,$A$552:A702)</f>
        <v>150</v>
      </c>
      <c r="C702" s="24" t="s">
        <v>487</v>
      </c>
      <c r="D702" s="31">
        <f t="shared" si="136"/>
        <v>2847699.39</v>
      </c>
      <c r="E702" s="30">
        <v>0</v>
      </c>
      <c r="F702" s="32">
        <v>0</v>
      </c>
      <c r="G702" s="30">
        <v>0</v>
      </c>
      <c r="H702" s="32">
        <v>0</v>
      </c>
      <c r="I702" s="32">
        <v>0</v>
      </c>
      <c r="J702" s="32">
        <v>0</v>
      </c>
      <c r="K702" s="84">
        <v>0</v>
      </c>
      <c r="L702" s="32">
        <v>0</v>
      </c>
      <c r="M702" s="31">
        <v>510</v>
      </c>
      <c r="N702" s="31">
        <f>2425465.71+232366.2</f>
        <v>2657831.91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0</v>
      </c>
      <c r="U702" s="32">
        <v>0</v>
      </c>
      <c r="V702" s="32">
        <v>0</v>
      </c>
      <c r="W702" s="32">
        <v>0</v>
      </c>
      <c r="X702" s="32">
        <v>0</v>
      </c>
      <c r="Y702" s="32">
        <v>0</v>
      </c>
      <c r="Z702" s="32">
        <v>0</v>
      </c>
      <c r="AA702" s="31">
        <v>0</v>
      </c>
      <c r="AB702" s="31">
        <v>0</v>
      </c>
      <c r="AC702" s="31">
        <f t="shared" si="137"/>
        <v>39867.480000000003</v>
      </c>
      <c r="AD702" s="31">
        <v>150000</v>
      </c>
      <c r="AE702" s="31">
        <v>0</v>
      </c>
      <c r="AF702" s="34">
        <v>2021</v>
      </c>
      <c r="AG702" s="34">
        <v>2021</v>
      </c>
      <c r="AH702" s="35">
        <v>2021</v>
      </c>
      <c r="AT702" s="20" t="e">
        <f t="shared" ref="AT702:AT731" si="138">VLOOKUP(C702,AW:AX,2,FALSE)</f>
        <v>#N/A</v>
      </c>
      <c r="BZ702" s="71"/>
    </row>
    <row r="703" spans="1:82" ht="61.5" x14ac:dyDescent="0.85">
      <c r="B703" s="24" t="s">
        <v>782</v>
      </c>
      <c r="C703" s="129"/>
      <c r="D703" s="31">
        <f t="shared" ref="D703:AE703" si="139">SUM(D704:D764)</f>
        <v>119543691.27</v>
      </c>
      <c r="E703" s="31">
        <f t="shared" si="139"/>
        <v>0</v>
      </c>
      <c r="F703" s="31">
        <f t="shared" si="139"/>
        <v>0</v>
      </c>
      <c r="G703" s="31">
        <f t="shared" si="139"/>
        <v>0</v>
      </c>
      <c r="H703" s="31">
        <f t="shared" si="139"/>
        <v>150356.32999999999</v>
      </c>
      <c r="I703" s="31">
        <f t="shared" si="139"/>
        <v>1855761.8599999999</v>
      </c>
      <c r="J703" s="31">
        <f t="shared" si="139"/>
        <v>0</v>
      </c>
      <c r="K703" s="33">
        <f t="shared" si="139"/>
        <v>3</v>
      </c>
      <c r="L703" s="31">
        <f t="shared" si="139"/>
        <v>6448186.2100000009</v>
      </c>
      <c r="M703" s="31">
        <f t="shared" si="139"/>
        <v>16364</v>
      </c>
      <c r="N703" s="31">
        <f t="shared" si="139"/>
        <v>84316731.090000004</v>
      </c>
      <c r="O703" s="31">
        <f t="shared" si="139"/>
        <v>0</v>
      </c>
      <c r="P703" s="31">
        <f t="shared" si="139"/>
        <v>0</v>
      </c>
      <c r="Q703" s="31">
        <f t="shared" si="139"/>
        <v>2592.9499999999998</v>
      </c>
      <c r="R703" s="31">
        <f t="shared" si="139"/>
        <v>6719316.2899999991</v>
      </c>
      <c r="S703" s="31">
        <f t="shared" si="139"/>
        <v>0</v>
      </c>
      <c r="T703" s="31">
        <f t="shared" si="139"/>
        <v>0</v>
      </c>
      <c r="U703" s="31">
        <f t="shared" si="139"/>
        <v>10293307.390000001</v>
      </c>
      <c r="V703" s="31">
        <f t="shared" si="139"/>
        <v>0</v>
      </c>
      <c r="W703" s="31">
        <f t="shared" si="139"/>
        <v>0</v>
      </c>
      <c r="X703" s="31">
        <f t="shared" si="139"/>
        <v>0</v>
      </c>
      <c r="Y703" s="31">
        <f t="shared" si="139"/>
        <v>0</v>
      </c>
      <c r="Z703" s="31">
        <f t="shared" si="139"/>
        <v>0</v>
      </c>
      <c r="AA703" s="31">
        <f t="shared" si="139"/>
        <v>0</v>
      </c>
      <c r="AB703" s="31">
        <f t="shared" si="139"/>
        <v>0</v>
      </c>
      <c r="AC703" s="31">
        <f t="shared" si="139"/>
        <v>1550032.0999999999</v>
      </c>
      <c r="AD703" s="31">
        <f t="shared" si="139"/>
        <v>8090000</v>
      </c>
      <c r="AE703" s="31">
        <f t="shared" si="139"/>
        <v>120000</v>
      </c>
      <c r="AF703" s="72" t="s">
        <v>776</v>
      </c>
      <c r="AG703" s="72" t="s">
        <v>776</v>
      </c>
      <c r="AH703" s="88" t="s">
        <v>776</v>
      </c>
      <c r="AT703" s="20" t="e">
        <f t="shared" si="138"/>
        <v>#N/A</v>
      </c>
      <c r="BZ703" s="71">
        <v>95396897.950000003</v>
      </c>
      <c r="CB703" s="71">
        <f>BZ703-D703</f>
        <v>-24146793.319999993</v>
      </c>
      <c r="CD703" s="20" t="e">
        <f t="shared" ref="CD703:CD766" si="140">VLOOKUP(C703,CE:CF,2,FALSE)</f>
        <v>#N/A</v>
      </c>
    </row>
    <row r="704" spans="1:82" ht="61.5" x14ac:dyDescent="0.85">
      <c r="A704" s="20">
        <v>1</v>
      </c>
      <c r="B704" s="66">
        <f>SUBTOTAL(103,$A$552:A704)</f>
        <v>151</v>
      </c>
      <c r="C704" s="24" t="s">
        <v>411</v>
      </c>
      <c r="D704" s="31">
        <f t="shared" ref="D704:D764" si="141">E704+F704+G704+H704+I704+J704+L704+N704+P704+R704+T704+U704+V704+W704+X704+Y704+Z704+AA704+AB704+AC704+AD704+AE704</f>
        <v>6231804.3600000003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3">
        <v>0</v>
      </c>
      <c r="L704" s="31">
        <v>0</v>
      </c>
      <c r="M704" s="31">
        <v>1170</v>
      </c>
      <c r="N704" s="31">
        <v>5962368.8300000001</v>
      </c>
      <c r="O704" s="31">
        <v>0</v>
      </c>
      <c r="P704" s="31">
        <v>0</v>
      </c>
      <c r="Q704" s="31">
        <v>0</v>
      </c>
      <c r="R704" s="31">
        <v>0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f>ROUND(N704*1.5%,2)</f>
        <v>89435.53</v>
      </c>
      <c r="AD704" s="31">
        <v>180000</v>
      </c>
      <c r="AE704" s="31">
        <v>0</v>
      </c>
      <c r="AF704" s="34">
        <v>2021</v>
      </c>
      <c r="AG704" s="34">
        <v>2021</v>
      </c>
      <c r="AH704" s="35">
        <v>2021</v>
      </c>
      <c r="AT704" s="20" t="e">
        <f t="shared" si="138"/>
        <v>#N/A</v>
      </c>
      <c r="BZ704" s="71"/>
      <c r="CD704" s="20" t="e">
        <f t="shared" si="140"/>
        <v>#N/A</v>
      </c>
    </row>
    <row r="705" spans="1:82" ht="61.5" x14ac:dyDescent="0.85">
      <c r="A705" s="20">
        <v>1</v>
      </c>
      <c r="B705" s="66">
        <f>SUBTOTAL(103,$A$552:A705)</f>
        <v>152</v>
      </c>
      <c r="C705" s="24" t="s">
        <v>412</v>
      </c>
      <c r="D705" s="31">
        <f t="shared" si="141"/>
        <v>2216554.6800000002</v>
      </c>
      <c r="E705" s="31">
        <v>0</v>
      </c>
      <c r="F705" s="31">
        <v>0</v>
      </c>
      <c r="G705" s="31">
        <v>0</v>
      </c>
      <c r="H705" s="31">
        <v>0</v>
      </c>
      <c r="I705" s="31">
        <v>0</v>
      </c>
      <c r="J705" s="31">
        <v>0</v>
      </c>
      <c r="K705" s="33">
        <v>1</v>
      </c>
      <c r="L705" s="31">
        <v>2116554.6800000002</v>
      </c>
      <c r="M705" s="31">
        <v>0</v>
      </c>
      <c r="N705" s="31">
        <v>0</v>
      </c>
      <c r="O705" s="31">
        <v>0</v>
      </c>
      <c r="P705" s="31">
        <v>0</v>
      </c>
      <c r="Q705" s="31">
        <v>0</v>
      </c>
      <c r="R705" s="31">
        <v>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1">
        <v>0</v>
      </c>
      <c r="AD705" s="31">
        <v>100000</v>
      </c>
      <c r="AE705" s="31">
        <v>0</v>
      </c>
      <c r="AF705" s="34">
        <v>2021</v>
      </c>
      <c r="AG705" s="34">
        <v>2021</v>
      </c>
      <c r="AH705" s="35" t="s">
        <v>274</v>
      </c>
      <c r="AT705" s="20">
        <f t="shared" si="138"/>
        <v>1</v>
      </c>
      <c r="BZ705" s="71"/>
      <c r="CD705" s="20" t="e">
        <f t="shared" si="140"/>
        <v>#N/A</v>
      </c>
    </row>
    <row r="706" spans="1:82" ht="61.5" x14ac:dyDescent="0.85">
      <c r="A706" s="20">
        <v>1</v>
      </c>
      <c r="B706" s="66">
        <f>SUBTOTAL(103,$A$552:A706)</f>
        <v>153</v>
      </c>
      <c r="C706" s="24" t="s">
        <v>413</v>
      </c>
      <c r="D706" s="31">
        <f t="shared" si="141"/>
        <v>4914920.1100000003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3">
        <v>0</v>
      </c>
      <c r="L706" s="31">
        <v>0</v>
      </c>
      <c r="M706" s="31">
        <v>880</v>
      </c>
      <c r="N706" s="31">
        <v>4694502.57</v>
      </c>
      <c r="O706" s="31">
        <v>0</v>
      </c>
      <c r="P706" s="31">
        <v>0</v>
      </c>
      <c r="Q706" s="31">
        <v>0</v>
      </c>
      <c r="R706" s="31">
        <v>0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1">
        <f>ROUND(N706*1.5%,2)</f>
        <v>70417.539999999994</v>
      </c>
      <c r="AD706" s="31">
        <v>150000</v>
      </c>
      <c r="AE706" s="31">
        <v>0</v>
      </c>
      <c r="AF706" s="34">
        <v>2021</v>
      </c>
      <c r="AG706" s="34">
        <v>2021</v>
      </c>
      <c r="AH706" s="35">
        <v>2021</v>
      </c>
      <c r="AT706" s="20" t="e">
        <f t="shared" si="138"/>
        <v>#N/A</v>
      </c>
      <c r="BZ706" s="71"/>
      <c r="CD706" s="20" t="e">
        <f t="shared" si="140"/>
        <v>#N/A</v>
      </c>
    </row>
    <row r="707" spans="1:82" ht="61.5" x14ac:dyDescent="0.85">
      <c r="A707" s="20">
        <v>1</v>
      </c>
      <c r="B707" s="66">
        <f>SUBTOTAL(103,$A$552:A707)</f>
        <v>154</v>
      </c>
      <c r="C707" s="24" t="s">
        <v>414</v>
      </c>
      <c r="D707" s="31">
        <f t="shared" si="141"/>
        <v>3567125.84</v>
      </c>
      <c r="E707" s="31">
        <v>0</v>
      </c>
      <c r="F707" s="31">
        <v>0</v>
      </c>
      <c r="G707" s="31">
        <v>0</v>
      </c>
      <c r="H707" s="31">
        <v>0</v>
      </c>
      <c r="I707" s="31">
        <v>0</v>
      </c>
      <c r="J707" s="31">
        <v>0</v>
      </c>
      <c r="K707" s="33">
        <v>0</v>
      </c>
      <c r="L707" s="31">
        <v>0</v>
      </c>
      <c r="M707" s="31">
        <v>650</v>
      </c>
      <c r="N707" s="31">
        <v>3366626.44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1">
        <f>ROUND(N707*1.5%,2)</f>
        <v>50499.4</v>
      </c>
      <c r="AD707" s="31">
        <v>150000</v>
      </c>
      <c r="AE707" s="31">
        <v>0</v>
      </c>
      <c r="AF707" s="34">
        <v>2021</v>
      </c>
      <c r="AG707" s="34">
        <v>2021</v>
      </c>
      <c r="AH707" s="35">
        <v>2021</v>
      </c>
      <c r="AT707" s="20" t="e">
        <f t="shared" si="138"/>
        <v>#N/A</v>
      </c>
      <c r="BZ707" s="71"/>
      <c r="CD707" s="20" t="e">
        <f t="shared" si="140"/>
        <v>#N/A</v>
      </c>
    </row>
    <row r="708" spans="1:82" ht="61.5" x14ac:dyDescent="0.85">
      <c r="A708" s="20">
        <v>1</v>
      </c>
      <c r="B708" s="66">
        <f>SUBTOTAL(103,$A$552:A708)</f>
        <v>155</v>
      </c>
      <c r="C708" s="24" t="s">
        <v>415</v>
      </c>
      <c r="D708" s="31">
        <f t="shared" si="141"/>
        <v>3399322.55</v>
      </c>
      <c r="E708" s="31">
        <v>0</v>
      </c>
      <c r="F708" s="31">
        <v>0</v>
      </c>
      <c r="G708" s="31">
        <v>0</v>
      </c>
      <c r="H708" s="31">
        <v>0</v>
      </c>
      <c r="I708" s="31">
        <v>0</v>
      </c>
      <c r="J708" s="31">
        <v>0</v>
      </c>
      <c r="K708" s="33">
        <v>0</v>
      </c>
      <c r="L708" s="31">
        <v>0</v>
      </c>
      <c r="M708" s="31">
        <v>620</v>
      </c>
      <c r="N708" s="31">
        <v>3201303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f>ROUND(N708*1.5%,2)</f>
        <v>48019.55</v>
      </c>
      <c r="AD708" s="31">
        <v>150000</v>
      </c>
      <c r="AE708" s="31">
        <v>0</v>
      </c>
      <c r="AF708" s="34">
        <v>2021</v>
      </c>
      <c r="AG708" s="34">
        <v>2021</v>
      </c>
      <c r="AH708" s="35">
        <v>2021</v>
      </c>
      <c r="AT708" s="20" t="e">
        <f t="shared" si="138"/>
        <v>#N/A</v>
      </c>
      <c r="BZ708" s="71"/>
      <c r="CD708" s="20" t="e">
        <f t="shared" si="140"/>
        <v>#N/A</v>
      </c>
    </row>
    <row r="709" spans="1:82" ht="61.5" x14ac:dyDescent="0.85">
      <c r="A709" s="20">
        <v>1</v>
      </c>
      <c r="B709" s="66">
        <f>SUBTOTAL(103,$A$552:A709)</f>
        <v>156</v>
      </c>
      <c r="C709" s="24" t="s">
        <v>416</v>
      </c>
      <c r="D709" s="31">
        <f t="shared" si="141"/>
        <v>3553347.11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3">
        <v>0</v>
      </c>
      <c r="L709" s="31">
        <v>0</v>
      </c>
      <c r="M709" s="31">
        <v>640</v>
      </c>
      <c r="N709" s="31">
        <v>3353051.34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f>ROUND(N709*1.5%,2)</f>
        <v>50295.77</v>
      </c>
      <c r="AD709" s="31">
        <v>150000</v>
      </c>
      <c r="AE709" s="31">
        <v>0</v>
      </c>
      <c r="AF709" s="34">
        <v>2021</v>
      </c>
      <c r="AG709" s="34">
        <v>2021</v>
      </c>
      <c r="AH709" s="35">
        <v>2021</v>
      </c>
      <c r="AT709" s="20" t="e">
        <f t="shared" si="138"/>
        <v>#N/A</v>
      </c>
      <c r="BZ709" s="71"/>
      <c r="CD709" s="20" t="e">
        <f t="shared" si="140"/>
        <v>#N/A</v>
      </c>
    </row>
    <row r="710" spans="1:82" ht="61.5" x14ac:dyDescent="0.85">
      <c r="A710" s="20">
        <v>1</v>
      </c>
      <c r="B710" s="66">
        <f>SUBTOTAL(103,$A$552:A710)</f>
        <v>157</v>
      </c>
      <c r="C710" s="24" t="s">
        <v>203</v>
      </c>
      <c r="D710" s="31">
        <f t="shared" si="141"/>
        <v>686139</v>
      </c>
      <c r="E710" s="31">
        <v>0</v>
      </c>
      <c r="F710" s="31">
        <v>0</v>
      </c>
      <c r="G710" s="31">
        <v>0</v>
      </c>
      <c r="H710" s="31">
        <v>150356.32999999999</v>
      </c>
      <c r="I710" s="31">
        <v>456677.17</v>
      </c>
      <c r="J710" s="31">
        <v>0</v>
      </c>
      <c r="K710" s="33">
        <v>0</v>
      </c>
      <c r="L710" s="31">
        <v>0</v>
      </c>
      <c r="M710" s="31">
        <v>0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f>ROUND((E710+F710+G710+H710+I710+J710)*1.5%,2)</f>
        <v>9105.5</v>
      </c>
      <c r="AD710" s="31">
        <v>70000</v>
      </c>
      <c r="AE710" s="31">
        <v>0</v>
      </c>
      <c r="AF710" s="34">
        <v>2021</v>
      </c>
      <c r="AG710" s="34">
        <v>2021</v>
      </c>
      <c r="AH710" s="35">
        <v>2021</v>
      </c>
      <c r="AT710" s="20" t="e">
        <f t="shared" si="138"/>
        <v>#N/A</v>
      </c>
      <c r="BZ710" s="71"/>
      <c r="CD710" s="20" t="e">
        <f t="shared" si="140"/>
        <v>#N/A</v>
      </c>
    </row>
    <row r="711" spans="1:82" ht="61.5" x14ac:dyDescent="0.85">
      <c r="A711" s="20">
        <v>1</v>
      </c>
      <c r="B711" s="66">
        <f>SUBTOTAL(103,$A$552:A711)</f>
        <v>158</v>
      </c>
      <c r="C711" s="24" t="s">
        <v>204</v>
      </c>
      <c r="D711" s="31">
        <f t="shared" si="141"/>
        <v>783943</v>
      </c>
      <c r="E711" s="31">
        <v>0</v>
      </c>
      <c r="F711" s="31">
        <v>0</v>
      </c>
      <c r="G711" s="31">
        <v>0</v>
      </c>
      <c r="H711" s="31">
        <v>0</v>
      </c>
      <c r="I711" s="31">
        <v>703392.12</v>
      </c>
      <c r="J711" s="31">
        <v>0</v>
      </c>
      <c r="K711" s="33">
        <v>0</v>
      </c>
      <c r="L711" s="31">
        <v>0</v>
      </c>
      <c r="M711" s="31">
        <v>0</v>
      </c>
      <c r="N711" s="31">
        <v>0</v>
      </c>
      <c r="O711" s="31">
        <v>0</v>
      </c>
      <c r="P711" s="31">
        <v>0</v>
      </c>
      <c r="Q711" s="31">
        <v>0</v>
      </c>
      <c r="R711" s="31">
        <v>0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f>ROUND((E711+F711+G711+H711+I711+J711)*1.5%,2)</f>
        <v>10550.88</v>
      </c>
      <c r="AD711" s="31">
        <v>70000</v>
      </c>
      <c r="AE711" s="31">
        <v>0</v>
      </c>
      <c r="AF711" s="34">
        <v>2021</v>
      </c>
      <c r="AG711" s="34">
        <v>2021</v>
      </c>
      <c r="AH711" s="35">
        <v>2021</v>
      </c>
      <c r="AT711" s="20" t="e">
        <f t="shared" si="138"/>
        <v>#N/A</v>
      </c>
      <c r="BZ711" s="71"/>
      <c r="CD711" s="20" t="e">
        <f t="shared" si="140"/>
        <v>#N/A</v>
      </c>
    </row>
    <row r="712" spans="1:82" ht="61.5" x14ac:dyDescent="0.85">
      <c r="A712" s="20">
        <v>1</v>
      </c>
      <c r="B712" s="66">
        <f>SUBTOTAL(103,$A$552:A712)</f>
        <v>159</v>
      </c>
      <c r="C712" s="24" t="s">
        <v>205</v>
      </c>
      <c r="D712" s="31">
        <f t="shared" si="141"/>
        <v>776127.96</v>
      </c>
      <c r="E712" s="31">
        <v>0</v>
      </c>
      <c r="F712" s="31">
        <v>0</v>
      </c>
      <c r="G712" s="31">
        <v>0</v>
      </c>
      <c r="H712" s="31">
        <v>0</v>
      </c>
      <c r="I712" s="31">
        <v>695692.57</v>
      </c>
      <c r="J712" s="31">
        <v>0</v>
      </c>
      <c r="K712" s="33">
        <v>0</v>
      </c>
      <c r="L712" s="31">
        <v>0</v>
      </c>
      <c r="M712" s="31">
        <v>0</v>
      </c>
      <c r="N712" s="31">
        <v>0</v>
      </c>
      <c r="O712" s="31">
        <v>0</v>
      </c>
      <c r="P712" s="31">
        <v>0</v>
      </c>
      <c r="Q712" s="31">
        <v>0</v>
      </c>
      <c r="R712" s="31">
        <v>0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f>ROUND((E712+F712+G712+H712+I712+J712)*1.5%,2)</f>
        <v>10435.39</v>
      </c>
      <c r="AD712" s="31">
        <v>70000</v>
      </c>
      <c r="AE712" s="31">
        <v>0</v>
      </c>
      <c r="AF712" s="34">
        <v>2021</v>
      </c>
      <c r="AG712" s="34">
        <v>2021</v>
      </c>
      <c r="AH712" s="35">
        <v>2021</v>
      </c>
      <c r="AT712" s="20" t="e">
        <f t="shared" si="138"/>
        <v>#N/A</v>
      </c>
      <c r="BZ712" s="71"/>
      <c r="CD712" s="20" t="e">
        <f t="shared" si="140"/>
        <v>#N/A</v>
      </c>
    </row>
    <row r="713" spans="1:82" ht="61.5" x14ac:dyDescent="0.85">
      <c r="A713" s="20">
        <v>1</v>
      </c>
      <c r="B713" s="66">
        <f>SUBTOTAL(103,$A$552:A713)</f>
        <v>160</v>
      </c>
      <c r="C713" s="24" t="s">
        <v>417</v>
      </c>
      <c r="D713" s="31">
        <f t="shared" si="141"/>
        <v>2623352.2800000003</v>
      </c>
      <c r="E713" s="31">
        <v>0</v>
      </c>
      <c r="F713" s="31">
        <v>0</v>
      </c>
      <c r="G713" s="31">
        <v>0</v>
      </c>
      <c r="H713" s="31">
        <v>0</v>
      </c>
      <c r="I713" s="31">
        <v>0</v>
      </c>
      <c r="J713" s="31">
        <v>0</v>
      </c>
      <c r="K713" s="33">
        <v>0</v>
      </c>
      <c r="L713" s="31">
        <v>0</v>
      </c>
      <c r="M713" s="31">
        <v>477</v>
      </c>
      <c r="N713" s="31">
        <v>2466356.9300000002</v>
      </c>
      <c r="O713" s="31">
        <v>0</v>
      </c>
      <c r="P713" s="31">
        <v>0</v>
      </c>
      <c r="Q713" s="31">
        <v>0</v>
      </c>
      <c r="R713" s="31">
        <v>0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f t="shared" ref="AC713:AC728" si="142">ROUND(N713*1.5%,2)</f>
        <v>36995.35</v>
      </c>
      <c r="AD713" s="31">
        <v>120000</v>
      </c>
      <c r="AE713" s="31">
        <v>0</v>
      </c>
      <c r="AF713" s="34">
        <v>2021</v>
      </c>
      <c r="AG713" s="34">
        <v>2021</v>
      </c>
      <c r="AH713" s="35">
        <v>2021</v>
      </c>
      <c r="AT713" s="20" t="e">
        <f t="shared" si="138"/>
        <v>#N/A</v>
      </c>
      <c r="BZ713" s="71"/>
      <c r="CD713" s="20" t="e">
        <f t="shared" si="140"/>
        <v>#N/A</v>
      </c>
    </row>
    <row r="714" spans="1:82" ht="61.5" x14ac:dyDescent="0.85">
      <c r="A714" s="20">
        <v>1</v>
      </c>
      <c r="B714" s="66">
        <f>SUBTOTAL(103,$A$552:A714)</f>
        <v>161</v>
      </c>
      <c r="C714" s="24" t="s">
        <v>418</v>
      </c>
      <c r="D714" s="31">
        <f t="shared" si="141"/>
        <v>2633042.44</v>
      </c>
      <c r="E714" s="31">
        <v>0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3">
        <v>0</v>
      </c>
      <c r="L714" s="31">
        <v>0</v>
      </c>
      <c r="M714" s="31">
        <v>472</v>
      </c>
      <c r="N714" s="31">
        <v>2475903.88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1">
        <f t="shared" si="142"/>
        <v>37138.559999999998</v>
      </c>
      <c r="AD714" s="31">
        <v>120000</v>
      </c>
      <c r="AE714" s="31">
        <v>0</v>
      </c>
      <c r="AF714" s="34">
        <v>2021</v>
      </c>
      <c r="AG714" s="34">
        <v>2021</v>
      </c>
      <c r="AH714" s="35">
        <v>2021</v>
      </c>
      <c r="AT714" s="20" t="e">
        <f t="shared" si="138"/>
        <v>#N/A</v>
      </c>
      <c r="BZ714" s="71"/>
      <c r="CD714" s="20" t="e">
        <f t="shared" si="140"/>
        <v>#N/A</v>
      </c>
    </row>
    <row r="715" spans="1:82" ht="61.5" x14ac:dyDescent="0.85">
      <c r="A715" s="20">
        <v>1</v>
      </c>
      <c r="B715" s="66">
        <f>SUBTOTAL(103,$A$552:A715)</f>
        <v>162</v>
      </c>
      <c r="C715" s="24" t="s">
        <v>419</v>
      </c>
      <c r="D715" s="31">
        <f t="shared" si="141"/>
        <v>2456912.8200000003</v>
      </c>
      <c r="E715" s="31">
        <v>0</v>
      </c>
      <c r="F715" s="31">
        <v>0</v>
      </c>
      <c r="G715" s="31">
        <v>0</v>
      </c>
      <c r="H715" s="31">
        <v>0</v>
      </c>
      <c r="I715" s="31">
        <v>0</v>
      </c>
      <c r="J715" s="31">
        <v>0</v>
      </c>
      <c r="K715" s="33">
        <v>0</v>
      </c>
      <c r="L715" s="31">
        <v>0</v>
      </c>
      <c r="M715" s="31">
        <v>440</v>
      </c>
      <c r="N715" s="31">
        <v>2302377.16</v>
      </c>
      <c r="O715" s="31">
        <v>0</v>
      </c>
      <c r="P715" s="31">
        <v>0</v>
      </c>
      <c r="Q715" s="31">
        <v>0</v>
      </c>
      <c r="R715" s="31">
        <v>0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1">
        <f t="shared" si="142"/>
        <v>34535.660000000003</v>
      </c>
      <c r="AD715" s="31">
        <v>120000</v>
      </c>
      <c r="AE715" s="31">
        <v>0</v>
      </c>
      <c r="AF715" s="34">
        <v>2021</v>
      </c>
      <c r="AG715" s="34">
        <v>2021</v>
      </c>
      <c r="AH715" s="35">
        <v>2021</v>
      </c>
      <c r="AT715" s="20" t="e">
        <f t="shared" si="138"/>
        <v>#N/A</v>
      </c>
      <c r="BZ715" s="71"/>
      <c r="CD715" s="20" t="e">
        <f t="shared" si="140"/>
        <v>#N/A</v>
      </c>
    </row>
    <row r="716" spans="1:82" ht="61.5" x14ac:dyDescent="0.85">
      <c r="A716" s="20">
        <v>1</v>
      </c>
      <c r="B716" s="66">
        <f>SUBTOTAL(103,$A$552:A716)</f>
        <v>163</v>
      </c>
      <c r="C716" s="24" t="s">
        <v>420</v>
      </c>
      <c r="D716" s="31">
        <f t="shared" si="141"/>
        <v>3762569.57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3">
        <v>0</v>
      </c>
      <c r="L716" s="31">
        <v>0</v>
      </c>
      <c r="M716" s="31">
        <v>658</v>
      </c>
      <c r="N716" s="31">
        <v>3529625.19</v>
      </c>
      <c r="O716" s="31">
        <v>0</v>
      </c>
      <c r="P716" s="31">
        <v>0</v>
      </c>
      <c r="Q716" s="31">
        <v>0</v>
      </c>
      <c r="R716" s="31">
        <v>0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f t="shared" si="142"/>
        <v>52944.38</v>
      </c>
      <c r="AD716" s="31">
        <v>180000</v>
      </c>
      <c r="AE716" s="31">
        <v>0</v>
      </c>
      <c r="AF716" s="34">
        <v>2021</v>
      </c>
      <c r="AG716" s="34">
        <v>2021</v>
      </c>
      <c r="AH716" s="35">
        <v>2021</v>
      </c>
      <c r="AT716" s="20" t="e">
        <f t="shared" si="138"/>
        <v>#N/A</v>
      </c>
      <c r="BZ716" s="71"/>
      <c r="CD716" s="20" t="e">
        <f t="shared" si="140"/>
        <v>#N/A</v>
      </c>
    </row>
    <row r="717" spans="1:82" ht="61.5" x14ac:dyDescent="0.85">
      <c r="A717" s="20">
        <v>1</v>
      </c>
      <c r="B717" s="66">
        <f>SUBTOTAL(103,$A$552:A717)</f>
        <v>164</v>
      </c>
      <c r="C717" s="24" t="s">
        <v>421</v>
      </c>
      <c r="D717" s="31">
        <f t="shared" si="141"/>
        <v>5669999.9900000002</v>
      </c>
      <c r="E717" s="31">
        <v>0</v>
      </c>
      <c r="F717" s="31">
        <v>0</v>
      </c>
      <c r="G717" s="31">
        <v>0</v>
      </c>
      <c r="H717" s="31">
        <v>0</v>
      </c>
      <c r="I717" s="31">
        <v>0</v>
      </c>
      <c r="J717" s="31">
        <v>0</v>
      </c>
      <c r="K717" s="33">
        <v>0</v>
      </c>
      <c r="L717" s="31">
        <v>0</v>
      </c>
      <c r="M717" s="31">
        <v>1134</v>
      </c>
      <c r="N717" s="31">
        <v>5408866.9900000002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1">
        <f t="shared" si="142"/>
        <v>81133</v>
      </c>
      <c r="AD717" s="31">
        <v>180000</v>
      </c>
      <c r="AE717" s="31">
        <v>0</v>
      </c>
      <c r="AF717" s="34">
        <v>2021</v>
      </c>
      <c r="AG717" s="34">
        <v>2021</v>
      </c>
      <c r="AH717" s="35">
        <v>2021</v>
      </c>
      <c r="AT717" s="20" t="e">
        <f t="shared" si="138"/>
        <v>#N/A</v>
      </c>
      <c r="BZ717" s="71"/>
      <c r="CD717" s="20" t="e">
        <f t="shared" si="140"/>
        <v>#N/A</v>
      </c>
    </row>
    <row r="718" spans="1:82" ht="61.5" x14ac:dyDescent="0.85">
      <c r="A718" s="20">
        <v>1</v>
      </c>
      <c r="B718" s="66">
        <f>SUBTOTAL(103,$A$552:A718)</f>
        <v>165</v>
      </c>
      <c r="C718" s="24" t="s">
        <v>422</v>
      </c>
      <c r="D718" s="31">
        <f t="shared" si="141"/>
        <v>2895000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3">
        <v>0</v>
      </c>
      <c r="L718" s="31">
        <v>0</v>
      </c>
      <c r="M718" s="31">
        <v>579</v>
      </c>
      <c r="N718" s="31">
        <v>2704433.5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f t="shared" si="142"/>
        <v>40566.5</v>
      </c>
      <c r="AD718" s="31">
        <v>150000</v>
      </c>
      <c r="AE718" s="31">
        <v>0</v>
      </c>
      <c r="AF718" s="34">
        <v>2021</v>
      </c>
      <c r="AG718" s="34">
        <v>2021</v>
      </c>
      <c r="AH718" s="35">
        <v>2021</v>
      </c>
      <c r="AT718" s="20" t="e">
        <f t="shared" si="138"/>
        <v>#N/A</v>
      </c>
      <c r="BZ718" s="71"/>
      <c r="CD718" s="20" t="e">
        <f t="shared" si="140"/>
        <v>#N/A</v>
      </c>
    </row>
    <row r="719" spans="1:82" ht="61.5" x14ac:dyDescent="0.85">
      <c r="A719" s="20">
        <v>1</v>
      </c>
      <c r="B719" s="66">
        <f>SUBTOTAL(103,$A$552:A719)</f>
        <v>166</v>
      </c>
      <c r="C719" s="24" t="s">
        <v>423</v>
      </c>
      <c r="D719" s="31">
        <f t="shared" si="141"/>
        <v>3066649.62</v>
      </c>
      <c r="E719" s="31">
        <v>0</v>
      </c>
      <c r="F719" s="31">
        <v>0</v>
      </c>
      <c r="G719" s="31">
        <v>0</v>
      </c>
      <c r="H719" s="31">
        <v>0</v>
      </c>
      <c r="I719" s="31">
        <v>0</v>
      </c>
      <c r="J719" s="31">
        <v>0</v>
      </c>
      <c r="K719" s="33">
        <v>0</v>
      </c>
      <c r="L719" s="31">
        <v>0</v>
      </c>
      <c r="M719" s="31">
        <v>570</v>
      </c>
      <c r="N719" s="31">
        <v>2873546.42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f t="shared" si="142"/>
        <v>43103.199999999997</v>
      </c>
      <c r="AD719" s="31">
        <v>150000</v>
      </c>
      <c r="AE719" s="31">
        <v>0</v>
      </c>
      <c r="AF719" s="34">
        <v>2021</v>
      </c>
      <c r="AG719" s="34">
        <v>2021</v>
      </c>
      <c r="AH719" s="35">
        <v>2021</v>
      </c>
      <c r="AT719" s="20" t="e">
        <f t="shared" si="138"/>
        <v>#N/A</v>
      </c>
      <c r="BZ719" s="71"/>
      <c r="CD719" s="20" t="e">
        <f t="shared" si="140"/>
        <v>#N/A</v>
      </c>
    </row>
    <row r="720" spans="1:82" ht="61.5" x14ac:dyDescent="0.85">
      <c r="A720" s="20">
        <v>1</v>
      </c>
      <c r="B720" s="66">
        <f>SUBTOTAL(103,$A$552:A720)</f>
        <v>167</v>
      </c>
      <c r="C720" s="24" t="s">
        <v>424</v>
      </c>
      <c r="D720" s="31">
        <f t="shared" si="141"/>
        <v>1488737.43</v>
      </c>
      <c r="E720" s="31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3">
        <v>0</v>
      </c>
      <c r="L720" s="31">
        <v>0</v>
      </c>
      <c r="M720" s="31">
        <v>266</v>
      </c>
      <c r="N720" s="31">
        <v>1348509.78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f t="shared" si="142"/>
        <v>20227.650000000001</v>
      </c>
      <c r="AD720" s="31">
        <v>120000</v>
      </c>
      <c r="AE720" s="31">
        <v>0</v>
      </c>
      <c r="AF720" s="34">
        <v>2021</v>
      </c>
      <c r="AG720" s="34">
        <v>2021</v>
      </c>
      <c r="AH720" s="35">
        <v>2021</v>
      </c>
      <c r="AT720" s="20" t="e">
        <f t="shared" si="138"/>
        <v>#N/A</v>
      </c>
      <c r="BZ720" s="71"/>
      <c r="CD720" s="20" t="e">
        <f t="shared" si="140"/>
        <v>#N/A</v>
      </c>
    </row>
    <row r="721" spans="1:82" ht="61.5" x14ac:dyDescent="0.85">
      <c r="A721" s="20">
        <v>1</v>
      </c>
      <c r="B721" s="66">
        <f>SUBTOTAL(103,$A$552:A721)</f>
        <v>168</v>
      </c>
      <c r="C721" s="24" t="s">
        <v>425</v>
      </c>
      <c r="D721" s="31">
        <f t="shared" si="141"/>
        <v>8150000</v>
      </c>
      <c r="E721" s="31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3">
        <v>0</v>
      </c>
      <c r="L721" s="31">
        <v>0</v>
      </c>
      <c r="M721" s="31">
        <v>1630</v>
      </c>
      <c r="N721" s="31">
        <v>7852216.75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f t="shared" si="142"/>
        <v>117783.25</v>
      </c>
      <c r="AD721" s="31">
        <v>180000</v>
      </c>
      <c r="AE721" s="31">
        <v>0</v>
      </c>
      <c r="AF721" s="34">
        <v>2021</v>
      </c>
      <c r="AG721" s="34">
        <v>2021</v>
      </c>
      <c r="AH721" s="35">
        <v>2021</v>
      </c>
      <c r="AT721" s="20" t="e">
        <f t="shared" si="138"/>
        <v>#N/A</v>
      </c>
      <c r="BZ721" s="71"/>
      <c r="CD721" s="20" t="e">
        <f t="shared" si="140"/>
        <v>#N/A</v>
      </c>
    </row>
    <row r="722" spans="1:82" ht="61.5" x14ac:dyDescent="0.85">
      <c r="A722" s="20">
        <v>1</v>
      </c>
      <c r="B722" s="66">
        <f>SUBTOTAL(103,$A$552:A722)</f>
        <v>169</v>
      </c>
      <c r="C722" s="24" t="s">
        <v>426</v>
      </c>
      <c r="D722" s="31">
        <f t="shared" si="141"/>
        <v>2837751.8</v>
      </c>
      <c r="E722" s="31">
        <v>0</v>
      </c>
      <c r="F722" s="31">
        <v>0</v>
      </c>
      <c r="G722" s="31">
        <v>0</v>
      </c>
      <c r="H722" s="31">
        <v>0</v>
      </c>
      <c r="I722" s="31">
        <v>0</v>
      </c>
      <c r="J722" s="31">
        <v>0</v>
      </c>
      <c r="K722" s="33">
        <v>0</v>
      </c>
      <c r="L722" s="31">
        <v>0</v>
      </c>
      <c r="M722" s="31">
        <v>500</v>
      </c>
      <c r="N722" s="31">
        <v>2677587.98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f t="shared" si="142"/>
        <v>40163.82</v>
      </c>
      <c r="AD722" s="31">
        <v>120000</v>
      </c>
      <c r="AE722" s="31">
        <v>0</v>
      </c>
      <c r="AF722" s="34">
        <v>2021</v>
      </c>
      <c r="AG722" s="34">
        <v>2021</v>
      </c>
      <c r="AH722" s="35">
        <v>2021</v>
      </c>
      <c r="AT722" s="20" t="e">
        <f t="shared" si="138"/>
        <v>#N/A</v>
      </c>
      <c r="BZ722" s="71"/>
      <c r="CD722" s="20" t="e">
        <f t="shared" si="140"/>
        <v>#N/A</v>
      </c>
    </row>
    <row r="723" spans="1:82" ht="61.5" x14ac:dyDescent="0.85">
      <c r="A723" s="20">
        <v>1</v>
      </c>
      <c r="B723" s="66">
        <f>SUBTOTAL(103,$A$552:A723)</f>
        <v>170</v>
      </c>
      <c r="C723" s="24" t="s">
        <v>427</v>
      </c>
      <c r="D723" s="31">
        <f t="shared" si="141"/>
        <v>2479122.38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3">
        <v>0</v>
      </c>
      <c r="L723" s="31">
        <v>0</v>
      </c>
      <c r="M723" s="31">
        <v>420</v>
      </c>
      <c r="N723" s="31">
        <v>2324258.5</v>
      </c>
      <c r="O723" s="31">
        <v>0</v>
      </c>
      <c r="P723" s="31">
        <v>0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f t="shared" si="142"/>
        <v>34863.879999999997</v>
      </c>
      <c r="AD723" s="31">
        <v>120000</v>
      </c>
      <c r="AE723" s="31">
        <v>0</v>
      </c>
      <c r="AF723" s="34">
        <v>2021</v>
      </c>
      <c r="AG723" s="34">
        <v>2021</v>
      </c>
      <c r="AH723" s="35">
        <v>2021</v>
      </c>
      <c r="AT723" s="20" t="e">
        <f t="shared" si="138"/>
        <v>#N/A</v>
      </c>
      <c r="BZ723" s="71"/>
      <c r="CD723" s="20" t="e">
        <f t="shared" si="140"/>
        <v>#N/A</v>
      </c>
    </row>
    <row r="724" spans="1:82" ht="61.5" x14ac:dyDescent="0.85">
      <c r="A724" s="20">
        <v>1</v>
      </c>
      <c r="B724" s="66">
        <f>SUBTOTAL(103,$A$552:A724)</f>
        <v>171</v>
      </c>
      <c r="C724" s="24" t="s">
        <v>206</v>
      </c>
      <c r="D724" s="31">
        <f t="shared" si="141"/>
        <v>3697950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0</v>
      </c>
      <c r="K724" s="33">
        <v>0</v>
      </c>
      <c r="L724" s="31">
        <v>0</v>
      </c>
      <c r="M724" s="31">
        <v>0</v>
      </c>
      <c r="N724" s="31">
        <v>0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3495517.24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f>ROUND(U724*1.5%,2)</f>
        <v>52432.76</v>
      </c>
      <c r="AD724" s="31">
        <v>150000</v>
      </c>
      <c r="AE724" s="31">
        <v>0</v>
      </c>
      <c r="AF724" s="34">
        <v>2021</v>
      </c>
      <c r="AG724" s="34">
        <v>2021</v>
      </c>
      <c r="AH724" s="35">
        <v>2021</v>
      </c>
      <c r="AT724" s="20" t="e">
        <f t="shared" si="138"/>
        <v>#N/A</v>
      </c>
      <c r="BZ724" s="71"/>
      <c r="CD724" s="20" t="e">
        <f t="shared" si="140"/>
        <v>#N/A</v>
      </c>
    </row>
    <row r="725" spans="1:82" ht="61.5" x14ac:dyDescent="0.85">
      <c r="A725" s="20">
        <v>1</v>
      </c>
      <c r="B725" s="66">
        <f>SUBTOTAL(103,$A$552:A725)</f>
        <v>172</v>
      </c>
      <c r="C725" s="24" t="s">
        <v>208</v>
      </c>
      <c r="D725" s="31">
        <f t="shared" si="141"/>
        <v>3680000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3">
        <v>0</v>
      </c>
      <c r="L725" s="31">
        <v>0</v>
      </c>
      <c r="M725" s="31">
        <v>0</v>
      </c>
      <c r="N725" s="31">
        <v>0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3477832.51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f>ROUND(U725*1.5%,2)</f>
        <v>52167.49</v>
      </c>
      <c r="AD725" s="31">
        <v>150000</v>
      </c>
      <c r="AE725" s="31">
        <v>0</v>
      </c>
      <c r="AF725" s="34">
        <v>2021</v>
      </c>
      <c r="AG725" s="34">
        <v>2021</v>
      </c>
      <c r="AH725" s="35">
        <v>2021</v>
      </c>
      <c r="AT725" s="20" t="e">
        <f t="shared" si="138"/>
        <v>#N/A</v>
      </c>
      <c r="BZ725" s="71"/>
      <c r="CD725" s="20" t="e">
        <f t="shared" si="140"/>
        <v>#N/A</v>
      </c>
    </row>
    <row r="726" spans="1:82" ht="61.5" x14ac:dyDescent="0.85">
      <c r="A726" s="20">
        <v>1</v>
      </c>
      <c r="B726" s="66">
        <f>SUBTOTAL(103,$A$552:A726)</f>
        <v>173</v>
      </c>
      <c r="C726" s="24" t="s">
        <v>207</v>
      </c>
      <c r="D726" s="31">
        <f t="shared" si="141"/>
        <v>3519757</v>
      </c>
      <c r="E726" s="31">
        <v>0</v>
      </c>
      <c r="F726" s="31">
        <v>0</v>
      </c>
      <c r="G726" s="31">
        <v>0</v>
      </c>
      <c r="H726" s="31">
        <v>0</v>
      </c>
      <c r="I726" s="31">
        <v>0</v>
      </c>
      <c r="J726" s="31">
        <v>0</v>
      </c>
      <c r="K726" s="33">
        <v>0</v>
      </c>
      <c r="L726" s="31">
        <v>0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0</v>
      </c>
      <c r="U726" s="31">
        <v>3319957.64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f>ROUND(U726*1.5%,2)</f>
        <v>49799.360000000001</v>
      </c>
      <c r="AD726" s="31">
        <v>150000</v>
      </c>
      <c r="AE726" s="31">
        <v>0</v>
      </c>
      <c r="AF726" s="34">
        <v>2021</v>
      </c>
      <c r="AG726" s="34">
        <v>2021</v>
      </c>
      <c r="AH726" s="35">
        <v>2021</v>
      </c>
      <c r="AT726" s="20" t="e">
        <f t="shared" si="138"/>
        <v>#N/A</v>
      </c>
      <c r="BZ726" s="71"/>
      <c r="CD726" s="20" t="e">
        <f t="shared" si="140"/>
        <v>#N/A</v>
      </c>
    </row>
    <row r="727" spans="1:82" ht="61.5" x14ac:dyDescent="0.85">
      <c r="A727" s="20">
        <v>1</v>
      </c>
      <c r="B727" s="66">
        <f>SUBTOTAL(103,$A$552:A727)</f>
        <v>174</v>
      </c>
      <c r="C727" s="24" t="s">
        <v>428</v>
      </c>
      <c r="D727" s="31">
        <f t="shared" si="141"/>
        <v>4335791.2699999996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3">
        <v>0</v>
      </c>
      <c r="L727" s="31">
        <v>0</v>
      </c>
      <c r="M727" s="31">
        <v>776</v>
      </c>
      <c r="N727" s="31">
        <v>4123932.29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f t="shared" si="142"/>
        <v>61858.98</v>
      </c>
      <c r="AD727" s="31">
        <v>150000</v>
      </c>
      <c r="AE727" s="31">
        <v>0</v>
      </c>
      <c r="AF727" s="34">
        <v>2021</v>
      </c>
      <c r="AG727" s="34">
        <v>2021</v>
      </c>
      <c r="AH727" s="35">
        <v>2021</v>
      </c>
      <c r="AT727" s="20" t="e">
        <f t="shared" si="138"/>
        <v>#N/A</v>
      </c>
      <c r="BZ727" s="71"/>
      <c r="CD727" s="20" t="e">
        <f t="shared" si="140"/>
        <v>#N/A</v>
      </c>
    </row>
    <row r="728" spans="1:82" ht="61.5" x14ac:dyDescent="0.85">
      <c r="A728" s="20">
        <v>1</v>
      </c>
      <c r="B728" s="66">
        <f>SUBTOTAL(103,$A$552:A728)</f>
        <v>175</v>
      </c>
      <c r="C728" s="24" t="s">
        <v>429</v>
      </c>
      <c r="D728" s="31">
        <f t="shared" si="141"/>
        <v>2345314.9499999997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3">
        <v>0</v>
      </c>
      <c r="L728" s="31">
        <v>0</v>
      </c>
      <c r="M728" s="31">
        <v>365</v>
      </c>
      <c r="N728" s="31">
        <v>2074201.92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f t="shared" si="142"/>
        <v>31113.03</v>
      </c>
      <c r="AD728" s="31">
        <v>120000</v>
      </c>
      <c r="AE728" s="31">
        <v>120000</v>
      </c>
      <c r="AF728" s="34">
        <v>2021</v>
      </c>
      <c r="AG728" s="34">
        <v>2021</v>
      </c>
      <c r="AH728" s="35">
        <v>2021</v>
      </c>
      <c r="AT728" s="20" t="e">
        <f t="shared" si="138"/>
        <v>#N/A</v>
      </c>
      <c r="BZ728" s="71"/>
      <c r="CD728" s="20" t="e">
        <f t="shared" si="140"/>
        <v>#N/A</v>
      </c>
    </row>
    <row r="729" spans="1:82" ht="61.5" x14ac:dyDescent="0.85">
      <c r="A729" s="20">
        <v>1</v>
      </c>
      <c r="B729" s="66">
        <f>SUBTOTAL(103,$A$552:A729)</f>
        <v>176</v>
      </c>
      <c r="C729" s="24" t="s">
        <v>430</v>
      </c>
      <c r="D729" s="31">
        <f t="shared" si="141"/>
        <v>4900000</v>
      </c>
      <c r="E729" s="31">
        <v>0</v>
      </c>
      <c r="F729" s="31">
        <v>0</v>
      </c>
      <c r="G729" s="31">
        <v>0</v>
      </c>
      <c r="H729" s="31">
        <v>0</v>
      </c>
      <c r="I729" s="31">
        <v>0</v>
      </c>
      <c r="J729" s="31">
        <v>0</v>
      </c>
      <c r="K729" s="33">
        <v>0</v>
      </c>
      <c r="L729" s="31">
        <v>0</v>
      </c>
      <c r="M729" s="31">
        <v>0</v>
      </c>
      <c r="N729" s="31">
        <v>0</v>
      </c>
      <c r="O729" s="31">
        <v>0</v>
      </c>
      <c r="P729" s="31">
        <v>0</v>
      </c>
      <c r="Q729" s="31">
        <v>947</v>
      </c>
      <c r="R729" s="31">
        <v>4699507.3899999997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1">
        <f>ROUND(R729*1.5%,2)</f>
        <v>70492.61</v>
      </c>
      <c r="AD729" s="31">
        <v>130000</v>
      </c>
      <c r="AE729" s="31">
        <v>0</v>
      </c>
      <c r="AF729" s="34">
        <v>2021</v>
      </c>
      <c r="AG729" s="34">
        <v>2021</v>
      </c>
      <c r="AH729" s="35">
        <v>2021</v>
      </c>
      <c r="AT729" s="20" t="e">
        <f t="shared" si="138"/>
        <v>#N/A</v>
      </c>
      <c r="BZ729" s="71"/>
      <c r="CD729" s="20" t="e">
        <f t="shared" si="140"/>
        <v>#N/A</v>
      </c>
    </row>
    <row r="730" spans="1:82" ht="61.5" x14ac:dyDescent="0.85">
      <c r="A730" s="20">
        <v>1</v>
      </c>
      <c r="B730" s="66">
        <f>SUBTOTAL(103,$A$552:A730)</f>
        <v>177</v>
      </c>
      <c r="C730" s="24" t="s">
        <v>431</v>
      </c>
      <c r="D730" s="31">
        <f t="shared" si="141"/>
        <v>3393815.22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3">
        <v>0</v>
      </c>
      <c r="L730" s="31">
        <v>0</v>
      </c>
      <c r="M730" s="31">
        <v>600</v>
      </c>
      <c r="N730" s="31">
        <v>3195877.06</v>
      </c>
      <c r="O730" s="31">
        <v>0</v>
      </c>
      <c r="P730" s="31">
        <v>0</v>
      </c>
      <c r="Q730" s="31">
        <v>0</v>
      </c>
      <c r="R730" s="31">
        <v>0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f t="shared" ref="AC730:AC764" si="143">ROUND(N730*1.5%,2)</f>
        <v>47938.16</v>
      </c>
      <c r="AD730" s="31">
        <v>150000</v>
      </c>
      <c r="AE730" s="31">
        <v>0</v>
      </c>
      <c r="AF730" s="34">
        <v>2021</v>
      </c>
      <c r="AG730" s="34">
        <v>2021</v>
      </c>
      <c r="AH730" s="35">
        <v>2021</v>
      </c>
      <c r="AT730" s="20" t="e">
        <f t="shared" si="138"/>
        <v>#N/A</v>
      </c>
      <c r="BZ730" s="71"/>
      <c r="CD730" s="20" t="e">
        <f t="shared" si="140"/>
        <v>#N/A</v>
      </c>
    </row>
    <row r="731" spans="1:82" ht="61.5" x14ac:dyDescent="0.85">
      <c r="A731" s="20">
        <v>1</v>
      </c>
      <c r="B731" s="66">
        <f>SUBTOTAL(103,$A$552:A731)</f>
        <v>178</v>
      </c>
      <c r="C731" s="24" t="s">
        <v>432</v>
      </c>
      <c r="D731" s="31">
        <f t="shared" si="141"/>
        <v>2699117.1599999997</v>
      </c>
      <c r="E731" s="31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3">
        <v>0</v>
      </c>
      <c r="L731" s="31">
        <v>0</v>
      </c>
      <c r="M731" s="31">
        <v>486</v>
      </c>
      <c r="N731" s="31">
        <v>2541002.13</v>
      </c>
      <c r="O731" s="31">
        <v>0</v>
      </c>
      <c r="P731" s="31">
        <v>0</v>
      </c>
      <c r="Q731" s="31">
        <v>0</v>
      </c>
      <c r="R731" s="31">
        <v>0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f t="shared" si="143"/>
        <v>38115.03</v>
      </c>
      <c r="AD731" s="31">
        <v>120000</v>
      </c>
      <c r="AE731" s="31">
        <v>0</v>
      </c>
      <c r="AF731" s="34">
        <v>2021</v>
      </c>
      <c r="AG731" s="34">
        <v>2021</v>
      </c>
      <c r="AH731" s="35">
        <v>2021</v>
      </c>
      <c r="AT731" s="20" t="e">
        <f t="shared" si="138"/>
        <v>#N/A</v>
      </c>
      <c r="BZ731" s="71"/>
      <c r="CD731" s="20" t="e">
        <f t="shared" si="140"/>
        <v>#N/A</v>
      </c>
    </row>
    <row r="732" spans="1:82" ht="61.5" x14ac:dyDescent="0.85">
      <c r="A732" s="20">
        <v>1</v>
      </c>
      <c r="B732" s="66">
        <f>SUBTOTAL(103,$A$552:A732)</f>
        <v>179</v>
      </c>
      <c r="C732" s="24" t="s">
        <v>1669</v>
      </c>
      <c r="D732" s="31">
        <f t="shared" si="141"/>
        <v>5101600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3">
        <v>0</v>
      </c>
      <c r="L732" s="31">
        <v>0</v>
      </c>
      <c r="M732" s="31">
        <v>911</v>
      </c>
      <c r="N732" s="31">
        <v>4878423.6500000004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f t="shared" si="143"/>
        <v>73176.350000000006</v>
      </c>
      <c r="AD732" s="31">
        <v>150000</v>
      </c>
      <c r="AE732" s="31">
        <v>0</v>
      </c>
      <c r="AF732" s="34">
        <v>2021</v>
      </c>
      <c r="AG732" s="34">
        <v>2021</v>
      </c>
      <c r="AH732" s="35">
        <v>2021</v>
      </c>
      <c r="BZ732" s="71"/>
      <c r="CD732" s="20" t="e">
        <f t="shared" si="140"/>
        <v>#N/A</v>
      </c>
    </row>
    <row r="733" spans="1:82" ht="61.5" x14ac:dyDescent="0.85">
      <c r="A733" s="20">
        <v>1</v>
      </c>
      <c r="B733" s="66">
        <f>SUBTOTAL(103,$A$552:A733)</f>
        <v>180</v>
      </c>
      <c r="C733" s="24" t="s">
        <v>1700</v>
      </c>
      <c r="D733" s="31">
        <f t="shared" si="141"/>
        <v>2638742.77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3">
        <v>0</v>
      </c>
      <c r="L733" s="31">
        <v>0</v>
      </c>
      <c r="M733" s="31">
        <v>480</v>
      </c>
      <c r="N733" s="31">
        <v>2451963.3199999998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f t="shared" si="143"/>
        <v>36779.449999999997</v>
      </c>
      <c r="AD733" s="31">
        <v>150000</v>
      </c>
      <c r="AE733" s="31">
        <v>0</v>
      </c>
      <c r="AF733" s="34">
        <v>2021</v>
      </c>
      <c r="AG733" s="34">
        <v>2021</v>
      </c>
      <c r="AH733" s="35">
        <v>2021</v>
      </c>
      <c r="BZ733" s="71"/>
      <c r="CD733" s="20" t="e">
        <f t="shared" si="140"/>
        <v>#N/A</v>
      </c>
    </row>
    <row r="734" spans="1:82" ht="61.5" x14ac:dyDescent="0.85">
      <c r="A734" s="20">
        <v>1</v>
      </c>
      <c r="B734" s="66">
        <f>SUBTOTAL(103,$A$552:A734)</f>
        <v>181</v>
      </c>
      <c r="C734" s="24" t="s">
        <v>1701</v>
      </c>
      <c r="D734" s="31">
        <f t="shared" si="141"/>
        <v>3267279.28</v>
      </c>
      <c r="E734" s="31">
        <v>0</v>
      </c>
      <c r="F734" s="31">
        <v>0</v>
      </c>
      <c r="G734" s="31">
        <v>0</v>
      </c>
      <c r="H734" s="31">
        <v>0</v>
      </c>
      <c r="I734" s="31">
        <v>0</v>
      </c>
      <c r="J734" s="31">
        <v>0</v>
      </c>
      <c r="K734" s="33">
        <v>0</v>
      </c>
      <c r="L734" s="31">
        <v>0</v>
      </c>
      <c r="M734" s="31">
        <v>600</v>
      </c>
      <c r="N734" s="31">
        <v>3100767.76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f t="shared" si="143"/>
        <v>46511.519999999997</v>
      </c>
      <c r="AD734" s="31">
        <v>120000</v>
      </c>
      <c r="AE734" s="31">
        <v>0</v>
      </c>
      <c r="AF734" s="34">
        <v>2021</v>
      </c>
      <c r="AG734" s="34">
        <v>2021</v>
      </c>
      <c r="AH734" s="35">
        <v>2021</v>
      </c>
      <c r="BZ734" s="71"/>
      <c r="CD734" s="20" t="e">
        <f t="shared" si="140"/>
        <v>#N/A</v>
      </c>
    </row>
    <row r="735" spans="1:82" ht="61.5" x14ac:dyDescent="0.85">
      <c r="A735" s="20">
        <v>1</v>
      </c>
      <c r="B735" s="66">
        <f>SUBTOTAL(103,$A$552:A735)</f>
        <v>182</v>
      </c>
      <c r="C735" s="24" t="s">
        <v>449</v>
      </c>
      <c r="D735" s="31">
        <f>E735+F735+G735+H735+I735+J735+L735+N735+P735+R735+T735+U735+V735+W735+X735+Y735+Z735+AA735+AB735+AC735+AD735+AE735</f>
        <v>4451631.53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3">
        <v>2</v>
      </c>
      <c r="L735" s="31">
        <v>4331631.53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f>ROUND(N735*1.5%,2)</f>
        <v>0</v>
      </c>
      <c r="AD735" s="31">
        <v>120000</v>
      </c>
      <c r="AE735" s="31">
        <v>0</v>
      </c>
      <c r="AF735" s="34">
        <v>2021</v>
      </c>
      <c r="AG735" s="34">
        <v>2021</v>
      </c>
      <c r="AH735" s="35" t="s">
        <v>274</v>
      </c>
      <c r="BZ735" s="71"/>
      <c r="CD735" s="20" t="e">
        <f t="shared" si="140"/>
        <v>#N/A</v>
      </c>
    </row>
    <row r="736" spans="1:82" ht="61.5" x14ac:dyDescent="0.85">
      <c r="A736" s="20">
        <v>1</v>
      </c>
      <c r="B736" s="66">
        <f>SUBTOTAL(103,$A$552:A736)</f>
        <v>183</v>
      </c>
      <c r="C736" s="24" t="s">
        <v>1721</v>
      </c>
      <c r="D736" s="31">
        <f t="shared" ref="D736" si="144">E736+F736+G736+H736+I736+J736+L736+N736+P736+R736+T736+U736+V736+W736+X736+Y736+Z736+AA736+AB736+AC736+AD736+AE736</f>
        <v>3267843.12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3">
        <v>0</v>
      </c>
      <c r="L736" s="31">
        <v>0</v>
      </c>
      <c r="M736" s="31">
        <v>600</v>
      </c>
      <c r="N736" s="31">
        <f>3120000+2620.93-1593.23</f>
        <v>3121027.7</v>
      </c>
      <c r="O736" s="31">
        <v>0</v>
      </c>
      <c r="P736" s="31">
        <v>0</v>
      </c>
      <c r="Q736" s="31">
        <v>0</v>
      </c>
      <c r="R736" s="31">
        <v>0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f t="shared" ref="AC736" si="145">ROUND(N736*1.5%,2)</f>
        <v>46815.42</v>
      </c>
      <c r="AD736" s="31">
        <v>100000</v>
      </c>
      <c r="AE736" s="31">
        <v>0</v>
      </c>
      <c r="AF736" s="34">
        <v>2021</v>
      </c>
      <c r="AG736" s="34">
        <v>2021</v>
      </c>
      <c r="AH736" s="35">
        <v>2021</v>
      </c>
      <c r="BZ736" s="71"/>
      <c r="CD736" s="20" t="e">
        <f t="shared" si="140"/>
        <v>#N/A</v>
      </c>
    </row>
    <row r="737" spans="1:84" ht="61.5" x14ac:dyDescent="0.85">
      <c r="A737" s="20">
        <v>1</v>
      </c>
      <c r="B737" s="66">
        <f>SUBTOTAL(103,$A$552:A737)</f>
        <v>184</v>
      </c>
      <c r="C737" s="24" t="s">
        <v>1722</v>
      </c>
      <c r="D737" s="31">
        <f t="shared" ref="D737" si="146">E737+F737+G737+H737+I737+J737+L737+N737+P737+R737+T737+U737+V737+W737+X737+Y737+Z737+AA737+AB737+AC737+AD737+AE737</f>
        <v>2422320</v>
      </c>
      <c r="E737" s="31">
        <v>0</v>
      </c>
      <c r="F737" s="31">
        <v>0</v>
      </c>
      <c r="G737" s="31">
        <v>0</v>
      </c>
      <c r="H737" s="31">
        <v>0</v>
      </c>
      <c r="I737" s="31">
        <v>0</v>
      </c>
      <c r="J737" s="31">
        <v>0</v>
      </c>
      <c r="K737" s="33">
        <v>0</v>
      </c>
      <c r="L737" s="31">
        <v>0</v>
      </c>
      <c r="M737" s="31">
        <v>440</v>
      </c>
      <c r="N737" s="31">
        <v>2288000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f t="shared" ref="AC737" si="147">ROUND(N737*1.5%,2)</f>
        <v>34320</v>
      </c>
      <c r="AD737" s="31">
        <v>100000</v>
      </c>
      <c r="AE737" s="31">
        <v>0</v>
      </c>
      <c r="AF737" s="34">
        <v>2021</v>
      </c>
      <c r="AG737" s="34">
        <v>2021</v>
      </c>
      <c r="AH737" s="35">
        <v>2021</v>
      </c>
      <c r="BZ737" s="71"/>
      <c r="CD737" s="20" t="e">
        <f t="shared" si="140"/>
        <v>#N/A</v>
      </c>
    </row>
    <row r="738" spans="1:84" ht="61.5" x14ac:dyDescent="0.85">
      <c r="A738" s="20">
        <v>1</v>
      </c>
      <c r="B738" s="66">
        <f>SUBTOTAL(103,$A$552:A738)</f>
        <v>185</v>
      </c>
      <c r="C738" s="24" t="s">
        <v>1180</v>
      </c>
      <c r="D738" s="31">
        <f>E738+F738+G738+H738+I738+J738+L738+N738+P738+R738+T738+U738+V738+W738+X738+Y738+Z738+AA738+AB738+AC738+AD738+AE738</f>
        <v>2050106.0299999998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3">
        <v>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1645.95</v>
      </c>
      <c r="R738" s="31">
        <v>2019808.9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f>ROUND(R738*1.5%,2)</f>
        <v>30297.13</v>
      </c>
      <c r="AD738" s="31">
        <v>0</v>
      </c>
      <c r="AE738" s="31">
        <v>0</v>
      </c>
      <c r="AF738" s="34" t="s">
        <v>274</v>
      </c>
      <c r="AG738" s="34">
        <v>2021</v>
      </c>
      <c r="AH738" s="35">
        <v>2021</v>
      </c>
      <c r="BZ738" s="71"/>
      <c r="CD738" s="20" t="e">
        <f t="shared" si="140"/>
        <v>#N/A</v>
      </c>
      <c r="CE738" s="136" t="s">
        <v>1258</v>
      </c>
      <c r="CF738" s="136">
        <v>542.66</v>
      </c>
    </row>
    <row r="739" spans="1:84" ht="61.5" x14ac:dyDescent="0.85">
      <c r="A739" s="20">
        <v>1</v>
      </c>
      <c r="B739" s="66">
        <f>SUBTOTAL(103,$A$552:A739)</f>
        <v>186</v>
      </c>
      <c r="C739" s="24" t="s">
        <v>433</v>
      </c>
      <c r="D739" s="31">
        <f t="shared" si="141"/>
        <v>150000</v>
      </c>
      <c r="E739" s="31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3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f t="shared" si="143"/>
        <v>0</v>
      </c>
      <c r="AD739" s="31">
        <v>150000</v>
      </c>
      <c r="AE739" s="31">
        <v>0</v>
      </c>
      <c r="AF739" s="34">
        <v>2021</v>
      </c>
      <c r="AG739" s="34" t="s">
        <v>274</v>
      </c>
      <c r="AH739" s="35" t="s">
        <v>274</v>
      </c>
      <c r="BZ739" s="71"/>
      <c r="CD739" s="20" t="e">
        <f t="shared" si="140"/>
        <v>#N/A</v>
      </c>
    </row>
    <row r="740" spans="1:84" ht="61.5" x14ac:dyDescent="0.85">
      <c r="A740" s="20">
        <v>1</v>
      </c>
      <c r="B740" s="66">
        <f>SUBTOTAL(103,$A$552:A740)</f>
        <v>187</v>
      </c>
      <c r="C740" s="24" t="s">
        <v>434</v>
      </c>
      <c r="D740" s="31">
        <f t="shared" si="141"/>
        <v>150000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3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f t="shared" si="143"/>
        <v>0</v>
      </c>
      <c r="AD740" s="31">
        <v>150000</v>
      </c>
      <c r="AE740" s="31">
        <v>0</v>
      </c>
      <c r="AF740" s="34">
        <v>2021</v>
      </c>
      <c r="AG740" s="34" t="s">
        <v>274</v>
      </c>
      <c r="AH740" s="35" t="s">
        <v>274</v>
      </c>
      <c r="BZ740" s="71"/>
      <c r="CD740" s="20" t="e">
        <f t="shared" si="140"/>
        <v>#N/A</v>
      </c>
    </row>
    <row r="741" spans="1:84" ht="61.5" x14ac:dyDescent="0.85">
      <c r="A741" s="20">
        <v>1</v>
      </c>
      <c r="B741" s="66">
        <f>SUBTOTAL(103,$A$552:A741)</f>
        <v>188</v>
      </c>
      <c r="C741" s="24" t="s">
        <v>435</v>
      </c>
      <c r="D741" s="31">
        <f t="shared" si="141"/>
        <v>180000</v>
      </c>
      <c r="E741" s="31">
        <v>0</v>
      </c>
      <c r="F741" s="31">
        <v>0</v>
      </c>
      <c r="G741" s="31">
        <v>0</v>
      </c>
      <c r="H741" s="31">
        <v>0</v>
      </c>
      <c r="I741" s="31">
        <v>0</v>
      </c>
      <c r="J741" s="31">
        <v>0</v>
      </c>
      <c r="K741" s="33">
        <v>0</v>
      </c>
      <c r="L741" s="31">
        <v>0</v>
      </c>
      <c r="M741" s="31">
        <v>0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f t="shared" si="143"/>
        <v>0</v>
      </c>
      <c r="AD741" s="31">
        <v>180000</v>
      </c>
      <c r="AE741" s="31">
        <v>0</v>
      </c>
      <c r="AF741" s="34">
        <v>2021</v>
      </c>
      <c r="AG741" s="34" t="s">
        <v>274</v>
      </c>
      <c r="AH741" s="35" t="s">
        <v>274</v>
      </c>
      <c r="BZ741" s="71"/>
      <c r="CD741" s="20" t="e">
        <f t="shared" si="140"/>
        <v>#N/A</v>
      </c>
    </row>
    <row r="742" spans="1:84" ht="61.5" x14ac:dyDescent="0.85">
      <c r="A742" s="20">
        <v>1</v>
      </c>
      <c r="B742" s="66">
        <f>SUBTOTAL(103,$A$552:A742)</f>
        <v>189</v>
      </c>
      <c r="C742" s="24" t="s">
        <v>436</v>
      </c>
      <c r="D742" s="31">
        <f t="shared" si="141"/>
        <v>200000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3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0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f t="shared" si="143"/>
        <v>0</v>
      </c>
      <c r="AD742" s="31">
        <v>200000</v>
      </c>
      <c r="AE742" s="31">
        <v>0</v>
      </c>
      <c r="AF742" s="34">
        <v>2021</v>
      </c>
      <c r="AG742" s="34" t="s">
        <v>274</v>
      </c>
      <c r="AH742" s="35" t="s">
        <v>274</v>
      </c>
      <c r="BZ742" s="71"/>
      <c r="CD742" s="20" t="e">
        <f t="shared" si="140"/>
        <v>#N/A</v>
      </c>
    </row>
    <row r="743" spans="1:84" ht="61.5" x14ac:dyDescent="0.85">
      <c r="A743" s="20">
        <v>1</v>
      </c>
      <c r="B743" s="66">
        <f>SUBTOTAL(103,$A$552:A743)</f>
        <v>190</v>
      </c>
      <c r="C743" s="24" t="s">
        <v>437</v>
      </c>
      <c r="D743" s="31">
        <f t="shared" si="141"/>
        <v>150000</v>
      </c>
      <c r="E743" s="31">
        <v>0</v>
      </c>
      <c r="F743" s="31">
        <v>0</v>
      </c>
      <c r="G743" s="31">
        <v>0</v>
      </c>
      <c r="H743" s="31">
        <v>0</v>
      </c>
      <c r="I743" s="31">
        <v>0</v>
      </c>
      <c r="J743" s="31">
        <v>0</v>
      </c>
      <c r="K743" s="33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f t="shared" si="143"/>
        <v>0</v>
      </c>
      <c r="AD743" s="31">
        <v>150000</v>
      </c>
      <c r="AE743" s="31">
        <v>0</v>
      </c>
      <c r="AF743" s="34">
        <v>2021</v>
      </c>
      <c r="AG743" s="34" t="s">
        <v>274</v>
      </c>
      <c r="AH743" s="35" t="s">
        <v>274</v>
      </c>
      <c r="BZ743" s="71"/>
      <c r="CD743" s="20" t="e">
        <f t="shared" si="140"/>
        <v>#N/A</v>
      </c>
    </row>
    <row r="744" spans="1:84" ht="61.5" x14ac:dyDescent="0.85">
      <c r="A744" s="20">
        <v>1</v>
      </c>
      <c r="B744" s="66">
        <f>SUBTOTAL(103,$A$552:A744)</f>
        <v>191</v>
      </c>
      <c r="C744" s="24" t="s">
        <v>438</v>
      </c>
      <c r="D744" s="31">
        <f t="shared" si="141"/>
        <v>180000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3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f t="shared" si="143"/>
        <v>0</v>
      </c>
      <c r="AD744" s="31">
        <v>180000</v>
      </c>
      <c r="AE744" s="31">
        <v>0</v>
      </c>
      <c r="AF744" s="34">
        <v>2021</v>
      </c>
      <c r="AG744" s="34" t="s">
        <v>274</v>
      </c>
      <c r="AH744" s="35" t="s">
        <v>274</v>
      </c>
      <c r="BZ744" s="71"/>
      <c r="CD744" s="20" t="e">
        <f t="shared" si="140"/>
        <v>#N/A</v>
      </c>
    </row>
    <row r="745" spans="1:84" ht="61.5" x14ac:dyDescent="0.85">
      <c r="A745" s="20">
        <v>1</v>
      </c>
      <c r="B745" s="66">
        <f>SUBTOTAL(103,$A$552:A745)</f>
        <v>192</v>
      </c>
      <c r="C745" s="24" t="s">
        <v>439</v>
      </c>
      <c r="D745" s="31">
        <f t="shared" si="141"/>
        <v>150000</v>
      </c>
      <c r="E745" s="31">
        <v>0</v>
      </c>
      <c r="F745" s="31">
        <v>0</v>
      </c>
      <c r="G745" s="31">
        <v>0</v>
      </c>
      <c r="H745" s="31">
        <v>0</v>
      </c>
      <c r="I745" s="31">
        <v>0</v>
      </c>
      <c r="J745" s="31">
        <v>0</v>
      </c>
      <c r="K745" s="33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f t="shared" si="143"/>
        <v>0</v>
      </c>
      <c r="AD745" s="31">
        <v>150000</v>
      </c>
      <c r="AE745" s="31">
        <v>0</v>
      </c>
      <c r="AF745" s="34">
        <v>2021</v>
      </c>
      <c r="AG745" s="34" t="s">
        <v>274</v>
      </c>
      <c r="AH745" s="35" t="s">
        <v>274</v>
      </c>
      <c r="BZ745" s="71"/>
      <c r="CD745" s="20" t="e">
        <f t="shared" si="140"/>
        <v>#N/A</v>
      </c>
    </row>
    <row r="746" spans="1:84" ht="61.5" x14ac:dyDescent="0.85">
      <c r="A746" s="20">
        <v>1</v>
      </c>
      <c r="B746" s="66">
        <f>SUBTOTAL(103,$A$552:A746)</f>
        <v>193</v>
      </c>
      <c r="C746" s="24" t="s">
        <v>440</v>
      </c>
      <c r="D746" s="31">
        <f t="shared" si="141"/>
        <v>120000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3">
        <v>0</v>
      </c>
      <c r="L746" s="31">
        <v>0</v>
      </c>
      <c r="M746" s="31">
        <v>0</v>
      </c>
      <c r="N746" s="31">
        <v>0</v>
      </c>
      <c r="O746" s="31">
        <v>0</v>
      </c>
      <c r="P746" s="31">
        <v>0</v>
      </c>
      <c r="Q746" s="31">
        <v>0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1">
        <f t="shared" si="143"/>
        <v>0</v>
      </c>
      <c r="AD746" s="31">
        <v>120000</v>
      </c>
      <c r="AE746" s="31">
        <v>0</v>
      </c>
      <c r="AF746" s="34">
        <v>2021</v>
      </c>
      <c r="AG746" s="34" t="s">
        <v>274</v>
      </c>
      <c r="AH746" s="35" t="s">
        <v>274</v>
      </c>
      <c r="BZ746" s="71"/>
      <c r="CD746" s="20" t="e">
        <f t="shared" si="140"/>
        <v>#N/A</v>
      </c>
    </row>
    <row r="747" spans="1:84" ht="61.5" x14ac:dyDescent="0.85">
      <c r="A747" s="20">
        <v>1</v>
      </c>
      <c r="B747" s="66">
        <f>SUBTOTAL(103,$A$552:A747)</f>
        <v>194</v>
      </c>
      <c r="C747" s="24" t="s">
        <v>209</v>
      </c>
      <c r="D747" s="31">
        <f t="shared" si="141"/>
        <v>150000</v>
      </c>
      <c r="E747" s="31">
        <v>0</v>
      </c>
      <c r="F747" s="31">
        <v>0</v>
      </c>
      <c r="G747" s="31">
        <v>0</v>
      </c>
      <c r="H747" s="31">
        <v>0</v>
      </c>
      <c r="I747" s="31">
        <v>0</v>
      </c>
      <c r="J747" s="31">
        <v>0</v>
      </c>
      <c r="K747" s="33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f t="shared" si="143"/>
        <v>0</v>
      </c>
      <c r="AD747" s="31">
        <v>150000</v>
      </c>
      <c r="AE747" s="31">
        <v>0</v>
      </c>
      <c r="AF747" s="34">
        <v>2021</v>
      </c>
      <c r="AG747" s="34" t="s">
        <v>274</v>
      </c>
      <c r="AH747" s="35" t="s">
        <v>274</v>
      </c>
      <c r="BZ747" s="71"/>
      <c r="CD747" s="20" t="e">
        <f t="shared" si="140"/>
        <v>#N/A</v>
      </c>
    </row>
    <row r="748" spans="1:84" ht="61.5" x14ac:dyDescent="0.85">
      <c r="A748" s="20">
        <v>1</v>
      </c>
      <c r="B748" s="66">
        <f>SUBTOTAL(103,$A$552:A748)</f>
        <v>195</v>
      </c>
      <c r="C748" s="24" t="s">
        <v>210</v>
      </c>
      <c r="D748" s="31">
        <f t="shared" si="141"/>
        <v>70000</v>
      </c>
      <c r="E748" s="31">
        <v>0</v>
      </c>
      <c r="F748" s="31">
        <v>0</v>
      </c>
      <c r="G748" s="31">
        <v>0</v>
      </c>
      <c r="H748" s="31">
        <v>0</v>
      </c>
      <c r="I748" s="31">
        <v>0</v>
      </c>
      <c r="J748" s="31">
        <v>0</v>
      </c>
      <c r="K748" s="33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f t="shared" si="143"/>
        <v>0</v>
      </c>
      <c r="AD748" s="31">
        <v>70000</v>
      </c>
      <c r="AE748" s="31">
        <v>0</v>
      </c>
      <c r="AF748" s="34">
        <v>2021</v>
      </c>
      <c r="AG748" s="34" t="s">
        <v>274</v>
      </c>
      <c r="AH748" s="35" t="s">
        <v>274</v>
      </c>
      <c r="BZ748" s="71"/>
      <c r="CD748" s="20" t="e">
        <f t="shared" si="140"/>
        <v>#N/A</v>
      </c>
    </row>
    <row r="749" spans="1:84" ht="61.5" x14ac:dyDescent="0.85">
      <c r="A749" s="20">
        <v>1</v>
      </c>
      <c r="B749" s="66">
        <f>SUBTOTAL(103,$A$552:A749)</f>
        <v>196</v>
      </c>
      <c r="C749" s="24" t="s">
        <v>211</v>
      </c>
      <c r="D749" s="31">
        <f t="shared" si="141"/>
        <v>70000</v>
      </c>
      <c r="E749" s="31">
        <v>0</v>
      </c>
      <c r="F749" s="31">
        <v>0</v>
      </c>
      <c r="G749" s="31">
        <v>0</v>
      </c>
      <c r="H749" s="31">
        <v>0</v>
      </c>
      <c r="I749" s="31">
        <v>0</v>
      </c>
      <c r="J749" s="31">
        <v>0</v>
      </c>
      <c r="K749" s="33">
        <v>0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f t="shared" si="143"/>
        <v>0</v>
      </c>
      <c r="AD749" s="31">
        <v>70000</v>
      </c>
      <c r="AE749" s="31">
        <v>0</v>
      </c>
      <c r="AF749" s="34">
        <v>2021</v>
      </c>
      <c r="AG749" s="34" t="s">
        <v>274</v>
      </c>
      <c r="AH749" s="35" t="s">
        <v>274</v>
      </c>
      <c r="BZ749" s="71"/>
      <c r="CD749" s="20" t="e">
        <f t="shared" si="140"/>
        <v>#N/A</v>
      </c>
    </row>
    <row r="750" spans="1:84" ht="61.5" x14ac:dyDescent="0.85">
      <c r="A750" s="20">
        <v>1</v>
      </c>
      <c r="B750" s="66">
        <f>SUBTOTAL(103,$A$552:A750)</f>
        <v>197</v>
      </c>
      <c r="C750" s="24" t="s">
        <v>212</v>
      </c>
      <c r="D750" s="31">
        <f t="shared" si="141"/>
        <v>70000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3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f t="shared" si="143"/>
        <v>0</v>
      </c>
      <c r="AD750" s="31">
        <v>70000</v>
      </c>
      <c r="AE750" s="31">
        <v>0</v>
      </c>
      <c r="AF750" s="34">
        <v>2021</v>
      </c>
      <c r="AG750" s="34" t="s">
        <v>274</v>
      </c>
      <c r="AH750" s="35" t="s">
        <v>274</v>
      </c>
      <c r="BZ750" s="71"/>
      <c r="CD750" s="20" t="e">
        <f t="shared" si="140"/>
        <v>#N/A</v>
      </c>
    </row>
    <row r="751" spans="1:84" ht="61.5" x14ac:dyDescent="0.85">
      <c r="A751" s="20">
        <v>1</v>
      </c>
      <c r="B751" s="66">
        <f>SUBTOTAL(103,$A$552:A751)</f>
        <v>198</v>
      </c>
      <c r="C751" s="24" t="s">
        <v>441</v>
      </c>
      <c r="D751" s="31">
        <f t="shared" si="141"/>
        <v>180000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3">
        <v>0</v>
      </c>
      <c r="L751" s="31">
        <v>0</v>
      </c>
      <c r="M751" s="31">
        <v>0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f t="shared" si="143"/>
        <v>0</v>
      </c>
      <c r="AD751" s="31">
        <v>180000</v>
      </c>
      <c r="AE751" s="31">
        <v>0</v>
      </c>
      <c r="AF751" s="34">
        <v>2021</v>
      </c>
      <c r="AG751" s="34" t="s">
        <v>274</v>
      </c>
      <c r="AH751" s="35" t="s">
        <v>274</v>
      </c>
      <c r="BZ751" s="71"/>
      <c r="CD751" s="20" t="e">
        <f t="shared" si="140"/>
        <v>#N/A</v>
      </c>
    </row>
    <row r="752" spans="1:84" ht="61.5" x14ac:dyDescent="0.85">
      <c r="A752" s="20">
        <v>1</v>
      </c>
      <c r="B752" s="66">
        <f>SUBTOTAL(103,$A$552:A752)</f>
        <v>199</v>
      </c>
      <c r="C752" s="24" t="s">
        <v>442</v>
      </c>
      <c r="D752" s="31">
        <f t="shared" si="141"/>
        <v>100000</v>
      </c>
      <c r="E752" s="31">
        <v>0</v>
      </c>
      <c r="F752" s="31">
        <v>0</v>
      </c>
      <c r="G752" s="31">
        <v>0</v>
      </c>
      <c r="H752" s="31">
        <v>0</v>
      </c>
      <c r="I752" s="31">
        <v>0</v>
      </c>
      <c r="J752" s="31">
        <v>0</v>
      </c>
      <c r="K752" s="33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f t="shared" si="143"/>
        <v>0</v>
      </c>
      <c r="AD752" s="31">
        <v>100000</v>
      </c>
      <c r="AE752" s="31">
        <v>0</v>
      </c>
      <c r="AF752" s="34">
        <v>2021</v>
      </c>
      <c r="AG752" s="34" t="s">
        <v>274</v>
      </c>
      <c r="AH752" s="35" t="s">
        <v>274</v>
      </c>
      <c r="BZ752" s="71"/>
      <c r="CD752" s="20" t="e">
        <f t="shared" si="140"/>
        <v>#N/A</v>
      </c>
    </row>
    <row r="753" spans="1:82" ht="61.5" x14ac:dyDescent="0.85">
      <c r="A753" s="20">
        <v>1</v>
      </c>
      <c r="B753" s="66">
        <f>SUBTOTAL(103,$A$552:A753)</f>
        <v>200</v>
      </c>
      <c r="C753" s="24" t="s">
        <v>443</v>
      </c>
      <c r="D753" s="31">
        <f t="shared" si="141"/>
        <v>150000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3">
        <v>0</v>
      </c>
      <c r="L753" s="31">
        <v>0</v>
      </c>
      <c r="M753" s="31">
        <v>0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f t="shared" si="143"/>
        <v>0</v>
      </c>
      <c r="AD753" s="31">
        <v>150000</v>
      </c>
      <c r="AE753" s="31">
        <v>0</v>
      </c>
      <c r="AF753" s="34">
        <v>2021</v>
      </c>
      <c r="AG753" s="34" t="s">
        <v>274</v>
      </c>
      <c r="AH753" s="35" t="s">
        <v>274</v>
      </c>
      <c r="BZ753" s="71"/>
      <c r="CD753" s="20" t="e">
        <f t="shared" si="140"/>
        <v>#N/A</v>
      </c>
    </row>
    <row r="754" spans="1:82" ht="61.5" x14ac:dyDescent="0.85">
      <c r="A754" s="20">
        <v>1</v>
      </c>
      <c r="B754" s="66">
        <f>SUBTOTAL(103,$A$552:A754)</f>
        <v>201</v>
      </c>
      <c r="C754" s="24" t="s">
        <v>444</v>
      </c>
      <c r="D754" s="31">
        <f t="shared" si="141"/>
        <v>150000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3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f t="shared" si="143"/>
        <v>0</v>
      </c>
      <c r="AD754" s="31">
        <v>150000</v>
      </c>
      <c r="AE754" s="31">
        <v>0</v>
      </c>
      <c r="AF754" s="34">
        <v>2021</v>
      </c>
      <c r="AG754" s="34" t="s">
        <v>274</v>
      </c>
      <c r="AH754" s="35" t="s">
        <v>274</v>
      </c>
      <c r="BZ754" s="71"/>
      <c r="CD754" s="20" t="e">
        <f t="shared" si="140"/>
        <v>#N/A</v>
      </c>
    </row>
    <row r="755" spans="1:82" ht="61.5" x14ac:dyDescent="0.85">
      <c r="A755" s="20">
        <v>1</v>
      </c>
      <c r="B755" s="66">
        <f>SUBTOTAL(103,$A$552:A755)</f>
        <v>202</v>
      </c>
      <c r="C755" s="24" t="s">
        <v>445</v>
      </c>
      <c r="D755" s="31">
        <f t="shared" si="141"/>
        <v>120000</v>
      </c>
      <c r="E755" s="31">
        <v>0</v>
      </c>
      <c r="F755" s="31">
        <v>0</v>
      </c>
      <c r="G755" s="31">
        <v>0</v>
      </c>
      <c r="H755" s="31">
        <v>0</v>
      </c>
      <c r="I755" s="31">
        <v>0</v>
      </c>
      <c r="J755" s="31">
        <v>0</v>
      </c>
      <c r="K755" s="33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f t="shared" si="143"/>
        <v>0</v>
      </c>
      <c r="AD755" s="31">
        <v>120000</v>
      </c>
      <c r="AE755" s="31">
        <v>0</v>
      </c>
      <c r="AF755" s="34">
        <v>2021</v>
      </c>
      <c r="AG755" s="34" t="s">
        <v>274</v>
      </c>
      <c r="AH755" s="35" t="s">
        <v>274</v>
      </c>
      <c r="BZ755" s="71"/>
      <c r="CD755" s="20" t="e">
        <f t="shared" si="140"/>
        <v>#N/A</v>
      </c>
    </row>
    <row r="756" spans="1:82" ht="61.5" x14ac:dyDescent="0.85">
      <c r="A756" s="20">
        <v>1</v>
      </c>
      <c r="B756" s="66">
        <f>SUBTOTAL(103,$A$552:A756)</f>
        <v>203</v>
      </c>
      <c r="C756" s="24" t="s">
        <v>446</v>
      </c>
      <c r="D756" s="31">
        <f t="shared" si="141"/>
        <v>180000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3">
        <v>0</v>
      </c>
      <c r="L756" s="31">
        <v>0</v>
      </c>
      <c r="M756" s="31">
        <v>0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f t="shared" si="143"/>
        <v>0</v>
      </c>
      <c r="AD756" s="31">
        <v>180000</v>
      </c>
      <c r="AE756" s="31">
        <v>0</v>
      </c>
      <c r="AF756" s="34">
        <v>2021</v>
      </c>
      <c r="AG756" s="34" t="s">
        <v>274</v>
      </c>
      <c r="AH756" s="35" t="s">
        <v>274</v>
      </c>
      <c r="BZ756" s="71"/>
      <c r="CD756" s="20" t="e">
        <f t="shared" si="140"/>
        <v>#N/A</v>
      </c>
    </row>
    <row r="757" spans="1:82" ht="61.5" x14ac:dyDescent="0.85">
      <c r="A757" s="20">
        <v>1</v>
      </c>
      <c r="B757" s="66">
        <f>SUBTOTAL(103,$A$552:A757)</f>
        <v>204</v>
      </c>
      <c r="C757" s="24" t="s">
        <v>447</v>
      </c>
      <c r="D757" s="31">
        <f t="shared" si="141"/>
        <v>150000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3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0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f t="shared" si="143"/>
        <v>0</v>
      </c>
      <c r="AD757" s="31">
        <v>150000</v>
      </c>
      <c r="AE757" s="31">
        <v>0</v>
      </c>
      <c r="AF757" s="34">
        <v>2021</v>
      </c>
      <c r="AG757" s="34" t="s">
        <v>274</v>
      </c>
      <c r="AH757" s="35" t="s">
        <v>274</v>
      </c>
      <c r="BZ757" s="71"/>
      <c r="CD757" s="20" t="e">
        <f t="shared" si="140"/>
        <v>#N/A</v>
      </c>
    </row>
    <row r="758" spans="1:82" ht="61.5" x14ac:dyDescent="0.85">
      <c r="A758" s="20">
        <v>1</v>
      </c>
      <c r="B758" s="66">
        <f>SUBTOTAL(103,$A$552:A758)</f>
        <v>205</v>
      </c>
      <c r="C758" s="24" t="s">
        <v>448</v>
      </c>
      <c r="D758" s="31">
        <f t="shared" si="141"/>
        <v>120000</v>
      </c>
      <c r="E758" s="31">
        <v>0</v>
      </c>
      <c r="F758" s="31">
        <v>0</v>
      </c>
      <c r="G758" s="31">
        <v>0</v>
      </c>
      <c r="H758" s="31">
        <v>0</v>
      </c>
      <c r="I758" s="31">
        <v>0</v>
      </c>
      <c r="J758" s="31">
        <v>0</v>
      </c>
      <c r="K758" s="33">
        <v>0</v>
      </c>
      <c r="L758" s="31">
        <v>0</v>
      </c>
      <c r="M758" s="31">
        <v>0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f t="shared" si="143"/>
        <v>0</v>
      </c>
      <c r="AD758" s="31">
        <v>120000</v>
      </c>
      <c r="AE758" s="31">
        <v>0</v>
      </c>
      <c r="AF758" s="34">
        <v>2021</v>
      </c>
      <c r="AG758" s="34" t="s">
        <v>274</v>
      </c>
      <c r="AH758" s="35" t="s">
        <v>274</v>
      </c>
      <c r="BZ758" s="71"/>
      <c r="CD758" s="20" t="e">
        <f t="shared" si="140"/>
        <v>#N/A</v>
      </c>
    </row>
    <row r="759" spans="1:82" ht="61.5" x14ac:dyDescent="0.85">
      <c r="A759" s="20">
        <v>1</v>
      </c>
      <c r="B759" s="66">
        <f>SUBTOTAL(103,$A$552:A759)</f>
        <v>206</v>
      </c>
      <c r="C759" s="24" t="s">
        <v>214</v>
      </c>
      <c r="D759" s="31">
        <f t="shared" si="141"/>
        <v>150000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3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f t="shared" si="143"/>
        <v>0</v>
      </c>
      <c r="AD759" s="31">
        <v>150000</v>
      </c>
      <c r="AE759" s="31">
        <v>0</v>
      </c>
      <c r="AF759" s="34">
        <v>2021</v>
      </c>
      <c r="AG759" s="34" t="s">
        <v>274</v>
      </c>
      <c r="AH759" s="35" t="s">
        <v>274</v>
      </c>
      <c r="BZ759" s="71"/>
      <c r="CD759" s="20" t="e">
        <f t="shared" si="140"/>
        <v>#N/A</v>
      </c>
    </row>
    <row r="760" spans="1:82" ht="61.5" x14ac:dyDescent="0.85">
      <c r="A760" s="20">
        <v>1</v>
      </c>
      <c r="B760" s="66">
        <f>SUBTOTAL(103,$A$552:A760)</f>
        <v>207</v>
      </c>
      <c r="C760" s="24" t="s">
        <v>213</v>
      </c>
      <c r="D760" s="31">
        <f t="shared" si="141"/>
        <v>150000</v>
      </c>
      <c r="E760" s="31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3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f t="shared" si="143"/>
        <v>0</v>
      </c>
      <c r="AD760" s="31">
        <v>150000</v>
      </c>
      <c r="AE760" s="31">
        <v>0</v>
      </c>
      <c r="AF760" s="34">
        <v>2021</v>
      </c>
      <c r="AG760" s="34" t="s">
        <v>274</v>
      </c>
      <c r="AH760" s="35" t="s">
        <v>274</v>
      </c>
      <c r="BZ760" s="71"/>
      <c r="CD760" s="20" t="e">
        <f t="shared" si="140"/>
        <v>#N/A</v>
      </c>
    </row>
    <row r="761" spans="1:82" ht="61.5" x14ac:dyDescent="0.85">
      <c r="A761" s="20">
        <v>1</v>
      </c>
      <c r="B761" s="66">
        <f>SUBTOTAL(103,$A$552:A761)</f>
        <v>208</v>
      </c>
      <c r="C761" s="24" t="s">
        <v>450</v>
      </c>
      <c r="D761" s="31">
        <f t="shared" si="141"/>
        <v>120000</v>
      </c>
      <c r="E761" s="31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3">
        <v>0</v>
      </c>
      <c r="L761" s="31">
        <v>0</v>
      </c>
      <c r="M761" s="31">
        <v>0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f t="shared" si="143"/>
        <v>0</v>
      </c>
      <c r="AD761" s="31">
        <v>120000</v>
      </c>
      <c r="AE761" s="31">
        <v>0</v>
      </c>
      <c r="AF761" s="34">
        <v>2021</v>
      </c>
      <c r="AG761" s="34" t="s">
        <v>274</v>
      </c>
      <c r="AH761" s="35" t="s">
        <v>274</v>
      </c>
      <c r="BZ761" s="71"/>
      <c r="CD761" s="20" t="e">
        <f t="shared" si="140"/>
        <v>#N/A</v>
      </c>
    </row>
    <row r="762" spans="1:82" ht="61.5" x14ac:dyDescent="0.85">
      <c r="A762" s="20">
        <v>1</v>
      </c>
      <c r="B762" s="66">
        <f>SUBTOTAL(103,$A$552:A762)</f>
        <v>209</v>
      </c>
      <c r="C762" s="24" t="s">
        <v>451</v>
      </c>
      <c r="D762" s="31">
        <f t="shared" si="141"/>
        <v>150000</v>
      </c>
      <c r="E762" s="31">
        <v>0</v>
      </c>
      <c r="F762" s="31">
        <v>0</v>
      </c>
      <c r="G762" s="31">
        <v>0</v>
      </c>
      <c r="H762" s="31">
        <v>0</v>
      </c>
      <c r="I762" s="31">
        <v>0</v>
      </c>
      <c r="J762" s="31">
        <v>0</v>
      </c>
      <c r="K762" s="33">
        <v>0</v>
      </c>
      <c r="L762" s="31">
        <v>0</v>
      </c>
      <c r="M762" s="31">
        <v>0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f t="shared" si="143"/>
        <v>0</v>
      </c>
      <c r="AD762" s="31">
        <v>150000</v>
      </c>
      <c r="AE762" s="31">
        <v>0</v>
      </c>
      <c r="AF762" s="34">
        <v>2021</v>
      </c>
      <c r="AG762" s="34" t="s">
        <v>274</v>
      </c>
      <c r="AH762" s="35" t="s">
        <v>274</v>
      </c>
      <c r="BZ762" s="71"/>
      <c r="CD762" s="20" t="e">
        <f t="shared" si="140"/>
        <v>#N/A</v>
      </c>
    </row>
    <row r="763" spans="1:82" ht="61.5" x14ac:dyDescent="0.85">
      <c r="A763" s="20">
        <v>1</v>
      </c>
      <c r="B763" s="66">
        <f>SUBTOTAL(103,$A$552:A763)</f>
        <v>210</v>
      </c>
      <c r="C763" s="24" t="s">
        <v>452</v>
      </c>
      <c r="D763" s="31">
        <f t="shared" si="141"/>
        <v>120000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3">
        <v>0</v>
      </c>
      <c r="L763" s="31">
        <v>0</v>
      </c>
      <c r="M763" s="31">
        <v>0</v>
      </c>
      <c r="N763" s="31">
        <v>0</v>
      </c>
      <c r="O763" s="31">
        <v>0</v>
      </c>
      <c r="P763" s="31">
        <v>0</v>
      </c>
      <c r="Q763" s="31">
        <v>0</v>
      </c>
      <c r="R763" s="31">
        <v>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f t="shared" si="143"/>
        <v>0</v>
      </c>
      <c r="AD763" s="31">
        <v>120000</v>
      </c>
      <c r="AE763" s="31">
        <v>0</v>
      </c>
      <c r="AF763" s="34">
        <v>2021</v>
      </c>
      <c r="AG763" s="34" t="s">
        <v>274</v>
      </c>
      <c r="AH763" s="35" t="s">
        <v>274</v>
      </c>
      <c r="BZ763" s="71"/>
      <c r="CD763" s="20" t="e">
        <f t="shared" si="140"/>
        <v>#N/A</v>
      </c>
    </row>
    <row r="764" spans="1:82" ht="61.5" x14ac:dyDescent="0.85">
      <c r="A764" s="20">
        <v>1</v>
      </c>
      <c r="B764" s="66">
        <f>SUBTOTAL(103,$A$552:A764)</f>
        <v>211</v>
      </c>
      <c r="C764" s="24" t="s">
        <v>839</v>
      </c>
      <c r="D764" s="31">
        <f t="shared" si="141"/>
        <v>100000</v>
      </c>
      <c r="E764" s="31">
        <v>0</v>
      </c>
      <c r="F764" s="31">
        <v>0</v>
      </c>
      <c r="G764" s="31">
        <v>0</v>
      </c>
      <c r="H764" s="31">
        <v>0</v>
      </c>
      <c r="I764" s="31">
        <v>0</v>
      </c>
      <c r="J764" s="31">
        <v>0</v>
      </c>
      <c r="K764" s="33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0</v>
      </c>
      <c r="AA764" s="31">
        <v>0</v>
      </c>
      <c r="AB764" s="31">
        <v>0</v>
      </c>
      <c r="AC764" s="31">
        <f t="shared" si="143"/>
        <v>0</v>
      </c>
      <c r="AD764" s="31">
        <v>100000</v>
      </c>
      <c r="AE764" s="31">
        <v>0</v>
      </c>
      <c r="AF764" s="34">
        <v>2021</v>
      </c>
      <c r="AG764" s="34" t="s">
        <v>274</v>
      </c>
      <c r="AH764" s="35" t="s">
        <v>274</v>
      </c>
      <c r="BZ764" s="71"/>
      <c r="CD764" s="20" t="e">
        <f t="shared" si="140"/>
        <v>#N/A</v>
      </c>
    </row>
    <row r="765" spans="1:82" ht="61.5" x14ac:dyDescent="0.85">
      <c r="B765" s="24" t="s">
        <v>785</v>
      </c>
      <c r="C765" s="24"/>
      <c r="D765" s="31">
        <f>SUM(D766:D787)</f>
        <v>55130603.349999994</v>
      </c>
      <c r="E765" s="31">
        <f t="shared" ref="E765:AE765" si="148">SUM(E766:E787)</f>
        <v>0</v>
      </c>
      <c r="F765" s="31">
        <f t="shared" si="148"/>
        <v>0</v>
      </c>
      <c r="G765" s="31">
        <f t="shared" si="148"/>
        <v>0</v>
      </c>
      <c r="H765" s="31">
        <f t="shared" si="148"/>
        <v>0</v>
      </c>
      <c r="I765" s="31">
        <f t="shared" si="148"/>
        <v>0</v>
      </c>
      <c r="J765" s="31">
        <f t="shared" si="148"/>
        <v>0</v>
      </c>
      <c r="K765" s="33">
        <f t="shared" si="148"/>
        <v>14</v>
      </c>
      <c r="L765" s="31">
        <f t="shared" si="148"/>
        <v>29797979.830000002</v>
      </c>
      <c r="M765" s="31">
        <f t="shared" si="148"/>
        <v>3839</v>
      </c>
      <c r="N765" s="31">
        <f t="shared" si="148"/>
        <v>18478797.07</v>
      </c>
      <c r="O765" s="31">
        <f t="shared" si="148"/>
        <v>0</v>
      </c>
      <c r="P765" s="31">
        <f t="shared" si="148"/>
        <v>0</v>
      </c>
      <c r="Q765" s="31">
        <f t="shared" si="148"/>
        <v>2058.1</v>
      </c>
      <c r="R765" s="31">
        <f t="shared" si="148"/>
        <v>3737163.56</v>
      </c>
      <c r="S765" s="31">
        <f t="shared" si="148"/>
        <v>0</v>
      </c>
      <c r="T765" s="31">
        <f t="shared" si="148"/>
        <v>0</v>
      </c>
      <c r="U765" s="31">
        <f t="shared" si="148"/>
        <v>0</v>
      </c>
      <c r="V765" s="31">
        <f t="shared" si="148"/>
        <v>0</v>
      </c>
      <c r="W765" s="31">
        <f t="shared" si="148"/>
        <v>0</v>
      </c>
      <c r="X765" s="31">
        <f t="shared" si="148"/>
        <v>0</v>
      </c>
      <c r="Y765" s="31">
        <f t="shared" si="148"/>
        <v>0</v>
      </c>
      <c r="Z765" s="31">
        <f t="shared" si="148"/>
        <v>0</v>
      </c>
      <c r="AA765" s="31">
        <f t="shared" si="148"/>
        <v>0</v>
      </c>
      <c r="AB765" s="31">
        <f t="shared" si="148"/>
        <v>0</v>
      </c>
      <c r="AC765" s="31">
        <f t="shared" si="148"/>
        <v>284333.42</v>
      </c>
      <c r="AD765" s="31">
        <f t="shared" si="148"/>
        <v>2592329.4699999997</v>
      </c>
      <c r="AE765" s="31">
        <f t="shared" si="148"/>
        <v>240000</v>
      </c>
      <c r="AF765" s="72" t="s">
        <v>776</v>
      </c>
      <c r="AG765" s="72" t="s">
        <v>776</v>
      </c>
      <c r="AH765" s="88" t="s">
        <v>776</v>
      </c>
      <c r="AT765" s="20" t="e">
        <f t="shared" ref="AT765:AT773" si="149">VLOOKUP(C765,AW:AX,2,FALSE)</f>
        <v>#N/A</v>
      </c>
      <c r="BZ765" s="71">
        <v>43029746.93</v>
      </c>
      <c r="CD765" s="20" t="e">
        <f t="shared" si="140"/>
        <v>#N/A</v>
      </c>
    </row>
    <row r="766" spans="1:82" ht="61.5" x14ac:dyDescent="0.85">
      <c r="A766" s="20">
        <v>1</v>
      </c>
      <c r="B766" s="66">
        <f>SUBTOTAL(103,$A$552:A766)</f>
        <v>212</v>
      </c>
      <c r="C766" s="24" t="s">
        <v>798</v>
      </c>
      <c r="D766" s="31">
        <f t="shared" ref="D766:D787" si="150">E766+F766+G766+H766+I766+J766+L766+N766+P766+R766+T766+U766+V766+W766+X766+Y766+Z766+AA766+AB766+AC766+AD766+AE766</f>
        <v>3593042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3">
        <v>0</v>
      </c>
      <c r="L766" s="31">
        <v>0</v>
      </c>
      <c r="M766" s="31">
        <v>690</v>
      </c>
      <c r="N766" s="31">
        <v>3431568.47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f>ROUND(N766*1.5%,2)</f>
        <v>51473.53</v>
      </c>
      <c r="AD766" s="31">
        <v>110000</v>
      </c>
      <c r="AE766" s="31">
        <v>0</v>
      </c>
      <c r="AF766" s="34">
        <v>2021</v>
      </c>
      <c r="AG766" s="34">
        <v>2021</v>
      </c>
      <c r="AH766" s="35">
        <v>2021</v>
      </c>
      <c r="AT766" s="20" t="e">
        <f t="shared" si="149"/>
        <v>#N/A</v>
      </c>
      <c r="BZ766" s="71"/>
      <c r="CD766" s="20" t="e">
        <f t="shared" si="140"/>
        <v>#N/A</v>
      </c>
    </row>
    <row r="767" spans="1:82" ht="61.5" x14ac:dyDescent="0.85">
      <c r="A767" s="20">
        <v>1</v>
      </c>
      <c r="B767" s="66">
        <f>SUBTOTAL(103,$A$552:A767)</f>
        <v>213</v>
      </c>
      <c r="C767" s="24" t="s">
        <v>799</v>
      </c>
      <c r="D767" s="31">
        <f t="shared" si="150"/>
        <v>6443296.3899999997</v>
      </c>
      <c r="E767" s="31">
        <v>0</v>
      </c>
      <c r="F767" s="31">
        <v>0</v>
      </c>
      <c r="G767" s="31">
        <v>0</v>
      </c>
      <c r="H767" s="31">
        <v>0</v>
      </c>
      <c r="I767" s="31">
        <v>0</v>
      </c>
      <c r="J767" s="31">
        <v>0</v>
      </c>
      <c r="K767" s="33">
        <v>3</v>
      </c>
      <c r="L767" s="31">
        <v>6329744.8300000001</v>
      </c>
      <c r="M767" s="31">
        <v>0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v>0</v>
      </c>
      <c r="AD767" s="31">
        <v>113551.56</v>
      </c>
      <c r="AE767" s="31">
        <v>0</v>
      </c>
      <c r="AF767" s="34">
        <v>2021</v>
      </c>
      <c r="AG767" s="34">
        <v>2021</v>
      </c>
      <c r="AH767" s="35" t="s">
        <v>274</v>
      </c>
      <c r="AT767" s="20" t="e">
        <f t="shared" si="149"/>
        <v>#N/A</v>
      </c>
      <c r="BZ767" s="71"/>
      <c r="CD767" s="20" t="e">
        <f t="shared" ref="CD767:CD830" si="151">VLOOKUP(C767,CE:CF,2,FALSE)</f>
        <v>#N/A</v>
      </c>
    </row>
    <row r="768" spans="1:82" ht="61.5" x14ac:dyDescent="0.85">
      <c r="A768" s="20">
        <v>1</v>
      </c>
      <c r="B768" s="66">
        <f>SUBTOTAL(103,$A$552:A768)</f>
        <v>214</v>
      </c>
      <c r="C768" s="24" t="s">
        <v>800</v>
      </c>
      <c r="D768" s="31">
        <f t="shared" si="150"/>
        <v>8572796.0600000005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3">
        <v>4</v>
      </c>
      <c r="L768" s="31">
        <v>8442796.0600000005</v>
      </c>
      <c r="M768" s="31">
        <v>0</v>
      </c>
      <c r="N768" s="31">
        <v>0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v>0</v>
      </c>
      <c r="AD768" s="31">
        <v>130000</v>
      </c>
      <c r="AE768" s="31">
        <v>0</v>
      </c>
      <c r="AF768" s="34">
        <v>2021</v>
      </c>
      <c r="AG768" s="34">
        <v>2021</v>
      </c>
      <c r="AH768" s="35" t="s">
        <v>274</v>
      </c>
      <c r="AT768" s="20" t="e">
        <f t="shared" si="149"/>
        <v>#N/A</v>
      </c>
      <c r="BZ768" s="71"/>
      <c r="CD768" s="20" t="e">
        <f t="shared" si="151"/>
        <v>#N/A</v>
      </c>
    </row>
    <row r="769" spans="1:82" ht="61.5" x14ac:dyDescent="0.85">
      <c r="A769" s="20">
        <v>1</v>
      </c>
      <c r="B769" s="66">
        <f>SUBTOTAL(103,$A$552:A769)</f>
        <v>215</v>
      </c>
      <c r="C769" s="24" t="s">
        <v>1103</v>
      </c>
      <c r="D769" s="31">
        <f t="shared" si="150"/>
        <v>2932000</v>
      </c>
      <c r="E769" s="31">
        <v>0</v>
      </c>
      <c r="F769" s="31">
        <v>0</v>
      </c>
      <c r="G769" s="31">
        <v>0</v>
      </c>
      <c r="H769" s="31">
        <v>0</v>
      </c>
      <c r="I769" s="31">
        <v>0</v>
      </c>
      <c r="J769" s="31">
        <v>0</v>
      </c>
      <c r="K769" s="33">
        <v>0</v>
      </c>
      <c r="L769" s="31">
        <v>0</v>
      </c>
      <c r="M769" s="31">
        <v>590</v>
      </c>
      <c r="N769" s="31">
        <v>2790147.78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f>ROUND(N769*1.5%,2)</f>
        <v>41852.22</v>
      </c>
      <c r="AD769" s="31">
        <v>100000</v>
      </c>
      <c r="AE769" s="31">
        <v>0</v>
      </c>
      <c r="AF769" s="34">
        <v>2021</v>
      </c>
      <c r="AG769" s="34">
        <v>2021</v>
      </c>
      <c r="AH769" s="35">
        <v>2021</v>
      </c>
      <c r="AT769" s="20" t="e">
        <f t="shared" si="149"/>
        <v>#N/A</v>
      </c>
      <c r="BZ769" s="71"/>
      <c r="CD769" s="20" t="e">
        <f t="shared" si="151"/>
        <v>#N/A</v>
      </c>
    </row>
    <row r="770" spans="1:82" ht="61.5" x14ac:dyDescent="0.85">
      <c r="A770" s="20">
        <v>1</v>
      </c>
      <c r="B770" s="66">
        <f>SUBTOTAL(103,$A$552:A770)</f>
        <v>216</v>
      </c>
      <c r="C770" s="24" t="s">
        <v>802</v>
      </c>
      <c r="D770" s="31">
        <f t="shared" si="150"/>
        <v>4291277.25</v>
      </c>
      <c r="E770" s="31">
        <v>0</v>
      </c>
      <c r="F770" s="31">
        <v>0</v>
      </c>
      <c r="G770" s="31">
        <v>0</v>
      </c>
      <c r="H770" s="31">
        <v>0</v>
      </c>
      <c r="I770" s="31">
        <v>0</v>
      </c>
      <c r="J770" s="31">
        <v>0</v>
      </c>
      <c r="K770" s="33">
        <v>2</v>
      </c>
      <c r="L770" s="31">
        <v>4186989.16</v>
      </c>
      <c r="M770" s="31">
        <v>0</v>
      </c>
      <c r="N770" s="31">
        <v>0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v>0</v>
      </c>
      <c r="AD770" s="31">
        <v>104288.09</v>
      </c>
      <c r="AE770" s="31">
        <v>0</v>
      </c>
      <c r="AF770" s="34">
        <v>2021</v>
      </c>
      <c r="AG770" s="34">
        <v>2021</v>
      </c>
      <c r="AH770" s="35" t="s">
        <v>274</v>
      </c>
      <c r="AT770" s="20" t="e">
        <f t="shared" si="149"/>
        <v>#N/A</v>
      </c>
      <c r="BZ770" s="71"/>
      <c r="CD770" s="20" t="e">
        <f t="shared" si="151"/>
        <v>#N/A</v>
      </c>
    </row>
    <row r="771" spans="1:82" ht="61.5" x14ac:dyDescent="0.85">
      <c r="A771" s="20">
        <v>1</v>
      </c>
      <c r="B771" s="66">
        <f>SUBTOTAL(103,$A$552:A771)</f>
        <v>217</v>
      </c>
      <c r="C771" s="24" t="s">
        <v>803</v>
      </c>
      <c r="D771" s="31">
        <f t="shared" si="150"/>
        <v>5501631.04</v>
      </c>
      <c r="E771" s="31">
        <v>0</v>
      </c>
      <c r="F771" s="31">
        <v>0</v>
      </c>
      <c r="G771" s="31">
        <v>0</v>
      </c>
      <c r="H771" s="31">
        <v>0</v>
      </c>
      <c r="I771" s="31">
        <v>0</v>
      </c>
      <c r="J771" s="31">
        <v>0</v>
      </c>
      <c r="K771" s="33">
        <v>0</v>
      </c>
      <c r="L771" s="31">
        <v>0</v>
      </c>
      <c r="M771" s="31">
        <v>1154</v>
      </c>
      <c r="N771" s="31">
        <f>5798972.61-516577.5</f>
        <v>5282395.1100000003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f>ROUND(N771*1.5%,2)</f>
        <v>79235.929999999993</v>
      </c>
      <c r="AD771" s="31">
        <v>140000</v>
      </c>
      <c r="AE771" s="31">
        <v>0</v>
      </c>
      <c r="AF771" s="34">
        <v>2021</v>
      </c>
      <c r="AG771" s="34">
        <v>2021</v>
      </c>
      <c r="AH771" s="35">
        <v>2021</v>
      </c>
      <c r="AT771" s="20" t="e">
        <f t="shared" si="149"/>
        <v>#N/A</v>
      </c>
      <c r="BZ771" s="71"/>
      <c r="CD771" s="20" t="e">
        <f t="shared" si="151"/>
        <v>#N/A</v>
      </c>
    </row>
    <row r="772" spans="1:82" ht="61.5" x14ac:dyDescent="0.85">
      <c r="A772" s="20">
        <v>1</v>
      </c>
      <c r="B772" s="66">
        <f>SUBTOTAL(103,$A$552:A772)</f>
        <v>218</v>
      </c>
      <c r="C772" s="24" t="s">
        <v>804</v>
      </c>
      <c r="D772" s="31">
        <f t="shared" si="150"/>
        <v>4291478.9800000004</v>
      </c>
      <c r="E772" s="31">
        <v>0</v>
      </c>
      <c r="F772" s="31">
        <v>0</v>
      </c>
      <c r="G772" s="31">
        <v>0</v>
      </c>
      <c r="H772" s="31">
        <v>0</v>
      </c>
      <c r="I772" s="31">
        <v>0</v>
      </c>
      <c r="J772" s="31">
        <v>0</v>
      </c>
      <c r="K772" s="33">
        <v>2</v>
      </c>
      <c r="L772" s="31">
        <v>4186989.16</v>
      </c>
      <c r="M772" s="31">
        <v>0</v>
      </c>
      <c r="N772" s="31">
        <v>0</v>
      </c>
      <c r="O772" s="31">
        <v>0</v>
      </c>
      <c r="P772" s="31">
        <v>0</v>
      </c>
      <c r="Q772" s="31">
        <v>0</v>
      </c>
      <c r="R772" s="31">
        <v>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v>0</v>
      </c>
      <c r="AD772" s="31">
        <v>104489.82</v>
      </c>
      <c r="AE772" s="31">
        <v>0</v>
      </c>
      <c r="AF772" s="34">
        <v>2021</v>
      </c>
      <c r="AG772" s="34">
        <v>2021</v>
      </c>
      <c r="AH772" s="35" t="s">
        <v>274</v>
      </c>
      <c r="AT772" s="20" t="e">
        <f t="shared" si="149"/>
        <v>#N/A</v>
      </c>
      <c r="BZ772" s="71"/>
      <c r="CD772" s="20" t="e">
        <f t="shared" si="151"/>
        <v>#N/A</v>
      </c>
    </row>
    <row r="773" spans="1:82" ht="61.5" x14ac:dyDescent="0.85">
      <c r="A773" s="20">
        <v>1</v>
      </c>
      <c r="B773" s="66">
        <f>SUBTOTAL(103,$A$552:A773)</f>
        <v>219</v>
      </c>
      <c r="C773" s="24" t="s">
        <v>805</v>
      </c>
      <c r="D773" s="31">
        <f t="shared" si="150"/>
        <v>2226554.6800000002</v>
      </c>
      <c r="E773" s="31">
        <v>0</v>
      </c>
      <c r="F773" s="31">
        <v>0</v>
      </c>
      <c r="G773" s="31">
        <v>0</v>
      </c>
      <c r="H773" s="31">
        <v>0</v>
      </c>
      <c r="I773" s="31">
        <v>0</v>
      </c>
      <c r="J773" s="31">
        <v>0</v>
      </c>
      <c r="K773" s="33">
        <v>1</v>
      </c>
      <c r="L773" s="31">
        <v>2106554.6800000002</v>
      </c>
      <c r="M773" s="31">
        <v>0</v>
      </c>
      <c r="N773" s="31">
        <v>0</v>
      </c>
      <c r="O773" s="31">
        <v>0</v>
      </c>
      <c r="P773" s="31">
        <v>0</v>
      </c>
      <c r="Q773" s="31">
        <v>0</v>
      </c>
      <c r="R773" s="31">
        <v>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v>0</v>
      </c>
      <c r="AD773" s="31">
        <v>120000</v>
      </c>
      <c r="AE773" s="31">
        <v>0</v>
      </c>
      <c r="AF773" s="34">
        <v>2021</v>
      </c>
      <c r="AG773" s="34">
        <v>2021</v>
      </c>
      <c r="AH773" s="35" t="s">
        <v>274</v>
      </c>
      <c r="AT773" s="20" t="e">
        <f t="shared" si="149"/>
        <v>#N/A</v>
      </c>
      <c r="BZ773" s="71"/>
      <c r="CD773" s="20" t="e">
        <f t="shared" si="151"/>
        <v>#N/A</v>
      </c>
    </row>
    <row r="774" spans="1:82" ht="61.5" x14ac:dyDescent="0.85">
      <c r="A774" s="20">
        <v>1</v>
      </c>
      <c r="B774" s="66">
        <f>SUBTOTAL(103,$A$552:A774)</f>
        <v>220</v>
      </c>
      <c r="C774" s="24" t="s">
        <v>1648</v>
      </c>
      <c r="D774" s="31">
        <f t="shared" si="150"/>
        <v>3890000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3">
        <v>0</v>
      </c>
      <c r="L774" s="31">
        <v>0</v>
      </c>
      <c r="M774" s="31">
        <v>778</v>
      </c>
      <c r="N774" s="31">
        <v>3714285.71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f>ROUND(N774*1.5%,2)</f>
        <v>55714.29</v>
      </c>
      <c r="AD774" s="31">
        <v>120000</v>
      </c>
      <c r="AE774" s="31">
        <v>0</v>
      </c>
      <c r="AF774" s="34">
        <v>2021</v>
      </c>
      <c r="AG774" s="34">
        <v>2021</v>
      </c>
      <c r="AH774" s="35">
        <v>2021</v>
      </c>
      <c r="BZ774" s="71"/>
      <c r="CD774" s="20" t="e">
        <f t="shared" si="151"/>
        <v>#N/A</v>
      </c>
    </row>
    <row r="775" spans="1:82" ht="61.5" x14ac:dyDescent="0.85">
      <c r="A775" s="20">
        <v>1</v>
      </c>
      <c r="B775" s="66">
        <f>SUBTOTAL(103,$A$552:A775)</f>
        <v>221</v>
      </c>
      <c r="C775" s="24" t="s">
        <v>1196</v>
      </c>
      <c r="D775" s="31">
        <f t="shared" si="150"/>
        <v>7413621.0100000007</v>
      </c>
      <c r="E775" s="31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3">
        <v>0</v>
      </c>
      <c r="L775" s="31">
        <v>0</v>
      </c>
      <c r="M775" s="31">
        <v>627</v>
      </c>
      <c r="N775" s="31">
        <f>M775*5200</f>
        <v>3260400</v>
      </c>
      <c r="O775" s="31">
        <v>0</v>
      </c>
      <c r="P775" s="31">
        <v>0</v>
      </c>
      <c r="Q775" s="31">
        <v>2058.1</v>
      </c>
      <c r="R775" s="31">
        <v>3737163.56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f>ROUND(R775*1.5%,2)</f>
        <v>56057.45</v>
      </c>
      <c r="AD775" s="31">
        <v>120000</v>
      </c>
      <c r="AE775" s="31">
        <v>240000</v>
      </c>
      <c r="AF775" s="34">
        <v>2021</v>
      </c>
      <c r="AG775" s="34">
        <v>2021</v>
      </c>
      <c r="AH775" s="35">
        <v>2021</v>
      </c>
      <c r="BZ775" s="71"/>
      <c r="CD775" s="20" t="e">
        <f t="shared" si="151"/>
        <v>#N/A</v>
      </c>
    </row>
    <row r="776" spans="1:82" ht="61.5" x14ac:dyDescent="0.85">
      <c r="A776" s="20">
        <v>1</v>
      </c>
      <c r="B776" s="66">
        <f>SUBTOTAL(103,$A$552:A776)</f>
        <v>222</v>
      </c>
      <c r="C776" s="24" t="s">
        <v>1723</v>
      </c>
      <c r="D776" s="31">
        <f t="shared" ref="D776" si="152">E776+F776+G776+H776+I776+J776+L776+N776+P776+R776+T776+U776+V776+W776+X776+Y776+Z776+AA776+AB776+AC776+AD776+AE776</f>
        <v>4654905.9400000004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3">
        <v>2</v>
      </c>
      <c r="L776" s="31">
        <v>4544905.9400000004</v>
      </c>
      <c r="M776" s="31">
        <v>0</v>
      </c>
      <c r="N776" s="31">
        <v>0</v>
      </c>
      <c r="O776" s="31">
        <v>0</v>
      </c>
      <c r="P776" s="31">
        <v>0</v>
      </c>
      <c r="Q776" s="31">
        <v>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v>0</v>
      </c>
      <c r="AD776" s="31">
        <v>110000</v>
      </c>
      <c r="AE776" s="31">
        <v>0</v>
      </c>
      <c r="AF776" s="34">
        <v>2021</v>
      </c>
      <c r="AG776" s="34">
        <v>2021</v>
      </c>
      <c r="AH776" s="35" t="s">
        <v>274</v>
      </c>
      <c r="BZ776" s="71"/>
      <c r="CD776" s="20" t="e">
        <f t="shared" si="151"/>
        <v>#N/A</v>
      </c>
    </row>
    <row r="777" spans="1:82" ht="61.5" x14ac:dyDescent="0.85">
      <c r="A777" s="20">
        <v>1</v>
      </c>
      <c r="B777" s="66">
        <f>SUBTOTAL(103,$A$552:A777)</f>
        <v>223</v>
      </c>
      <c r="C777" s="24" t="s">
        <v>807</v>
      </c>
      <c r="D777" s="31">
        <f t="shared" si="150"/>
        <v>110000</v>
      </c>
      <c r="E777" s="31">
        <v>0</v>
      </c>
      <c r="F777" s="31">
        <v>0</v>
      </c>
      <c r="G777" s="31">
        <v>0</v>
      </c>
      <c r="H777" s="31">
        <v>0</v>
      </c>
      <c r="I777" s="31">
        <v>0</v>
      </c>
      <c r="J777" s="31">
        <v>0</v>
      </c>
      <c r="K777" s="33">
        <v>0</v>
      </c>
      <c r="L777" s="31">
        <v>0</v>
      </c>
      <c r="M777" s="31">
        <v>0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v>0</v>
      </c>
      <c r="AD777" s="31">
        <v>110000</v>
      </c>
      <c r="AE777" s="31">
        <v>0</v>
      </c>
      <c r="AF777" s="34">
        <v>2021</v>
      </c>
      <c r="AG777" s="34" t="s">
        <v>274</v>
      </c>
      <c r="AH777" s="35" t="s">
        <v>274</v>
      </c>
      <c r="BZ777" s="71"/>
      <c r="CD777" s="20" t="e">
        <f t="shared" si="151"/>
        <v>#N/A</v>
      </c>
    </row>
    <row r="778" spans="1:82" ht="61.5" x14ac:dyDescent="0.85">
      <c r="A778" s="20">
        <v>1</v>
      </c>
      <c r="B778" s="66">
        <f>SUBTOTAL(103,$A$552:A778)</f>
        <v>224</v>
      </c>
      <c r="C778" s="24" t="s">
        <v>808</v>
      </c>
      <c r="D778" s="31">
        <f t="shared" si="150"/>
        <v>110000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3">
        <v>0</v>
      </c>
      <c r="L778" s="31">
        <v>0</v>
      </c>
      <c r="M778" s="31">
        <v>0</v>
      </c>
      <c r="N778" s="31">
        <v>0</v>
      </c>
      <c r="O778" s="31">
        <v>0</v>
      </c>
      <c r="P778" s="31">
        <v>0</v>
      </c>
      <c r="Q778" s="31">
        <v>0</v>
      </c>
      <c r="R778" s="31">
        <v>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1">
        <v>0</v>
      </c>
      <c r="AD778" s="31">
        <v>110000</v>
      </c>
      <c r="AE778" s="31">
        <v>0</v>
      </c>
      <c r="AF778" s="34">
        <v>2021</v>
      </c>
      <c r="AG778" s="34" t="s">
        <v>274</v>
      </c>
      <c r="AH778" s="35" t="s">
        <v>274</v>
      </c>
      <c r="BZ778" s="71"/>
      <c r="CD778" s="20" t="e">
        <f t="shared" si="151"/>
        <v>#N/A</v>
      </c>
    </row>
    <row r="779" spans="1:82" ht="61.5" x14ac:dyDescent="0.85">
      <c r="A779" s="20">
        <v>1</v>
      </c>
      <c r="B779" s="66">
        <f>SUBTOTAL(103,$A$552:A779)</f>
        <v>225</v>
      </c>
      <c r="C779" s="24" t="s">
        <v>1104</v>
      </c>
      <c r="D779" s="31">
        <f t="shared" si="150"/>
        <v>110000</v>
      </c>
      <c r="E779" s="31">
        <v>0</v>
      </c>
      <c r="F779" s="31">
        <v>0</v>
      </c>
      <c r="G779" s="31">
        <v>0</v>
      </c>
      <c r="H779" s="31">
        <v>0</v>
      </c>
      <c r="I779" s="31">
        <v>0</v>
      </c>
      <c r="J779" s="31">
        <v>0</v>
      </c>
      <c r="K779" s="33">
        <v>0</v>
      </c>
      <c r="L779" s="31">
        <v>0</v>
      </c>
      <c r="M779" s="31">
        <v>0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v>0</v>
      </c>
      <c r="AD779" s="31">
        <v>110000</v>
      </c>
      <c r="AE779" s="31">
        <v>0</v>
      </c>
      <c r="AF779" s="34">
        <v>2021</v>
      </c>
      <c r="AG779" s="34" t="s">
        <v>274</v>
      </c>
      <c r="AH779" s="35" t="s">
        <v>274</v>
      </c>
      <c r="BZ779" s="71"/>
      <c r="CD779" s="20" t="e">
        <f t="shared" si="151"/>
        <v>#N/A</v>
      </c>
    </row>
    <row r="780" spans="1:82" ht="61.5" x14ac:dyDescent="0.85">
      <c r="A780" s="20">
        <v>1</v>
      </c>
      <c r="B780" s="66">
        <f>SUBTOTAL(103,$A$552:A780)</f>
        <v>226</v>
      </c>
      <c r="C780" s="24" t="s">
        <v>810</v>
      </c>
      <c r="D780" s="31">
        <f t="shared" si="150"/>
        <v>120000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3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31">
        <v>120000</v>
      </c>
      <c r="AE780" s="31">
        <v>0</v>
      </c>
      <c r="AF780" s="34">
        <v>2021</v>
      </c>
      <c r="AG780" s="34" t="s">
        <v>274</v>
      </c>
      <c r="AH780" s="35" t="s">
        <v>274</v>
      </c>
      <c r="BZ780" s="71"/>
      <c r="CD780" s="20" t="e">
        <f t="shared" si="151"/>
        <v>#N/A</v>
      </c>
    </row>
    <row r="781" spans="1:82" ht="61.5" x14ac:dyDescent="0.85">
      <c r="A781" s="20">
        <v>1</v>
      </c>
      <c r="B781" s="66">
        <f>SUBTOTAL(103,$A$552:A781)</f>
        <v>227</v>
      </c>
      <c r="C781" s="24" t="s">
        <v>812</v>
      </c>
      <c r="D781" s="31">
        <f t="shared" si="150"/>
        <v>140000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3">
        <v>0</v>
      </c>
      <c r="L781" s="31">
        <v>0</v>
      </c>
      <c r="M781" s="31">
        <v>0</v>
      </c>
      <c r="N781" s="31">
        <v>0</v>
      </c>
      <c r="O781" s="31">
        <v>0</v>
      </c>
      <c r="P781" s="31">
        <v>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v>0</v>
      </c>
      <c r="AD781" s="31">
        <v>140000</v>
      </c>
      <c r="AE781" s="31">
        <v>0</v>
      </c>
      <c r="AF781" s="34">
        <v>2021</v>
      </c>
      <c r="AG781" s="34" t="s">
        <v>274</v>
      </c>
      <c r="AH781" s="35" t="s">
        <v>274</v>
      </c>
      <c r="BZ781" s="71"/>
      <c r="CD781" s="20" t="e">
        <f t="shared" si="151"/>
        <v>#N/A</v>
      </c>
    </row>
    <row r="782" spans="1:82" ht="61.5" x14ac:dyDescent="0.85">
      <c r="A782" s="20">
        <v>1</v>
      </c>
      <c r="B782" s="66">
        <f>SUBTOTAL(103,$A$552:A782)</f>
        <v>228</v>
      </c>
      <c r="C782" s="24" t="s">
        <v>813</v>
      </c>
      <c r="D782" s="31">
        <f t="shared" si="150"/>
        <v>110000</v>
      </c>
      <c r="E782" s="31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3">
        <v>0</v>
      </c>
      <c r="L782" s="31">
        <v>0</v>
      </c>
      <c r="M782" s="31">
        <v>0</v>
      </c>
      <c r="N782" s="31">
        <v>0</v>
      </c>
      <c r="O782" s="31">
        <v>0</v>
      </c>
      <c r="P782" s="31">
        <v>0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v>0</v>
      </c>
      <c r="AD782" s="31">
        <v>110000</v>
      </c>
      <c r="AE782" s="31">
        <v>0</v>
      </c>
      <c r="AF782" s="34">
        <v>2021</v>
      </c>
      <c r="AG782" s="34" t="s">
        <v>274</v>
      </c>
      <c r="AH782" s="35" t="s">
        <v>274</v>
      </c>
      <c r="BZ782" s="71"/>
      <c r="CD782" s="20" t="e">
        <f t="shared" si="151"/>
        <v>#N/A</v>
      </c>
    </row>
    <row r="783" spans="1:82" ht="61.5" x14ac:dyDescent="0.85">
      <c r="A783" s="20">
        <v>1</v>
      </c>
      <c r="B783" s="66">
        <f>SUBTOTAL(103,$A$552:A783)</f>
        <v>229</v>
      </c>
      <c r="C783" s="24" t="s">
        <v>814</v>
      </c>
      <c r="D783" s="31">
        <f t="shared" si="150"/>
        <v>110000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3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1">
        <v>110000</v>
      </c>
      <c r="AE783" s="31">
        <v>0</v>
      </c>
      <c r="AF783" s="34">
        <v>2021</v>
      </c>
      <c r="AG783" s="34" t="s">
        <v>274</v>
      </c>
      <c r="AH783" s="35" t="s">
        <v>274</v>
      </c>
      <c r="BZ783" s="71"/>
      <c r="CD783" s="20" t="e">
        <f t="shared" si="151"/>
        <v>#N/A</v>
      </c>
    </row>
    <row r="784" spans="1:82" ht="61.5" x14ac:dyDescent="0.85">
      <c r="A784" s="20">
        <v>1</v>
      </c>
      <c r="B784" s="66">
        <f>SUBTOTAL(103,$A$552:A784)</f>
        <v>230</v>
      </c>
      <c r="C784" s="24" t="s">
        <v>815</v>
      </c>
      <c r="D784" s="31">
        <f t="shared" si="150"/>
        <v>130000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3">
        <v>0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v>0</v>
      </c>
      <c r="AD784" s="31">
        <v>130000</v>
      </c>
      <c r="AE784" s="31">
        <v>0</v>
      </c>
      <c r="AF784" s="34">
        <v>2021</v>
      </c>
      <c r="AG784" s="34" t="s">
        <v>274</v>
      </c>
      <c r="AH784" s="35" t="s">
        <v>274</v>
      </c>
      <c r="BZ784" s="71"/>
      <c r="CD784" s="20" t="e">
        <f t="shared" si="151"/>
        <v>#N/A</v>
      </c>
    </row>
    <row r="785" spans="1:82" ht="61.5" x14ac:dyDescent="0.85">
      <c r="A785" s="20">
        <v>1</v>
      </c>
      <c r="B785" s="66">
        <f>SUBTOTAL(103,$A$552:A785)</f>
        <v>231</v>
      </c>
      <c r="C785" s="24" t="s">
        <v>816</v>
      </c>
      <c r="D785" s="31">
        <f t="shared" si="150"/>
        <v>200000</v>
      </c>
      <c r="E785" s="31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3">
        <v>0</v>
      </c>
      <c r="L785" s="31">
        <v>0</v>
      </c>
      <c r="M785" s="31">
        <v>0</v>
      </c>
      <c r="N785" s="31">
        <v>0</v>
      </c>
      <c r="O785" s="31">
        <v>0</v>
      </c>
      <c r="P785" s="31">
        <v>0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1">
        <v>0</v>
      </c>
      <c r="AD785" s="31">
        <v>200000</v>
      </c>
      <c r="AE785" s="31">
        <v>0</v>
      </c>
      <c r="AF785" s="34">
        <v>2021</v>
      </c>
      <c r="AG785" s="34" t="s">
        <v>274</v>
      </c>
      <c r="AH785" s="35" t="s">
        <v>274</v>
      </c>
      <c r="BZ785" s="71"/>
      <c r="CD785" s="20" t="e">
        <f t="shared" si="151"/>
        <v>#N/A</v>
      </c>
    </row>
    <row r="786" spans="1:82" ht="61.5" x14ac:dyDescent="0.85">
      <c r="A786" s="20">
        <v>1</v>
      </c>
      <c r="B786" s="66">
        <f>SUBTOTAL(103,$A$552:A786)</f>
        <v>232</v>
      </c>
      <c r="C786" s="24" t="s">
        <v>838</v>
      </c>
      <c r="D786" s="31">
        <f t="shared" si="150"/>
        <v>80000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3">
        <v>0</v>
      </c>
      <c r="L786" s="31">
        <v>0</v>
      </c>
      <c r="M786" s="31">
        <v>0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31">
        <v>80000</v>
      </c>
      <c r="AE786" s="31">
        <v>0</v>
      </c>
      <c r="AF786" s="34">
        <v>2021</v>
      </c>
      <c r="AG786" s="34" t="s">
        <v>274</v>
      </c>
      <c r="AH786" s="35" t="s">
        <v>274</v>
      </c>
      <c r="BZ786" s="71"/>
      <c r="CD786" s="20" t="e">
        <f t="shared" si="151"/>
        <v>#N/A</v>
      </c>
    </row>
    <row r="787" spans="1:82" ht="61.5" x14ac:dyDescent="0.85">
      <c r="A787" s="20">
        <v>1</v>
      </c>
      <c r="B787" s="66">
        <f>SUBTOTAL(103,$A$552:A787)</f>
        <v>233</v>
      </c>
      <c r="C787" s="24" t="s">
        <v>1649</v>
      </c>
      <c r="D787" s="31">
        <f t="shared" si="150"/>
        <v>100000</v>
      </c>
      <c r="E787" s="31">
        <v>0</v>
      </c>
      <c r="F787" s="31">
        <v>0</v>
      </c>
      <c r="G787" s="31">
        <v>0</v>
      </c>
      <c r="H787" s="31">
        <v>0</v>
      </c>
      <c r="I787" s="31">
        <v>0</v>
      </c>
      <c r="J787" s="31">
        <v>0</v>
      </c>
      <c r="K787" s="33">
        <v>0</v>
      </c>
      <c r="L787" s="31">
        <v>0</v>
      </c>
      <c r="M787" s="31">
        <v>0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v>0</v>
      </c>
      <c r="AD787" s="31">
        <v>100000</v>
      </c>
      <c r="AE787" s="31">
        <v>0</v>
      </c>
      <c r="AF787" s="34">
        <v>2021</v>
      </c>
      <c r="AG787" s="34" t="s">
        <v>274</v>
      </c>
      <c r="AH787" s="35" t="s">
        <v>274</v>
      </c>
      <c r="BZ787" s="71"/>
      <c r="CD787" s="20" t="e">
        <f t="shared" si="151"/>
        <v>#N/A</v>
      </c>
    </row>
    <row r="788" spans="1:82" ht="61.5" x14ac:dyDescent="0.85">
      <c r="B788" s="24" t="s">
        <v>783</v>
      </c>
      <c r="C788" s="129"/>
      <c r="D788" s="31">
        <f t="shared" ref="D788:AE788" si="153">SUM(D789:D791)</f>
        <v>21856214.649999999</v>
      </c>
      <c r="E788" s="31">
        <f t="shared" si="153"/>
        <v>601798.30000000005</v>
      </c>
      <c r="F788" s="31">
        <f t="shared" si="153"/>
        <v>1360064.57</v>
      </c>
      <c r="G788" s="31">
        <f t="shared" si="153"/>
        <v>2159210.9500000002</v>
      </c>
      <c r="H788" s="31">
        <f t="shared" si="153"/>
        <v>1072260.3</v>
      </c>
      <c r="I788" s="31">
        <f t="shared" si="153"/>
        <v>1605699.19</v>
      </c>
      <c r="J788" s="31">
        <f t="shared" si="153"/>
        <v>0</v>
      </c>
      <c r="K788" s="33">
        <f t="shared" si="153"/>
        <v>4</v>
      </c>
      <c r="L788" s="31">
        <f t="shared" si="153"/>
        <v>8863212</v>
      </c>
      <c r="M788" s="31">
        <f t="shared" si="153"/>
        <v>0</v>
      </c>
      <c r="N788" s="31">
        <f t="shared" si="153"/>
        <v>0</v>
      </c>
      <c r="O788" s="31">
        <f t="shared" si="153"/>
        <v>0</v>
      </c>
      <c r="P788" s="31">
        <f t="shared" si="153"/>
        <v>0</v>
      </c>
      <c r="Q788" s="31">
        <f t="shared" si="153"/>
        <v>2476.9</v>
      </c>
      <c r="R788" s="31">
        <f t="shared" si="153"/>
        <v>5381264.8700000001</v>
      </c>
      <c r="S788" s="31">
        <f t="shared" si="153"/>
        <v>0</v>
      </c>
      <c r="T788" s="31">
        <f t="shared" si="153"/>
        <v>0</v>
      </c>
      <c r="U788" s="31">
        <f t="shared" si="153"/>
        <v>0</v>
      </c>
      <c r="V788" s="31">
        <f t="shared" si="153"/>
        <v>0</v>
      </c>
      <c r="W788" s="31">
        <f t="shared" si="153"/>
        <v>0</v>
      </c>
      <c r="X788" s="31">
        <f t="shared" si="153"/>
        <v>0</v>
      </c>
      <c r="Y788" s="31">
        <f t="shared" si="153"/>
        <v>0</v>
      </c>
      <c r="Z788" s="31">
        <f t="shared" si="153"/>
        <v>0</v>
      </c>
      <c r="AA788" s="31">
        <f t="shared" si="153"/>
        <v>0</v>
      </c>
      <c r="AB788" s="31">
        <f t="shared" si="153"/>
        <v>0</v>
      </c>
      <c r="AC788" s="31">
        <f t="shared" si="153"/>
        <v>182704.47</v>
      </c>
      <c r="AD788" s="31">
        <f t="shared" si="153"/>
        <v>630000</v>
      </c>
      <c r="AE788" s="31">
        <f t="shared" si="153"/>
        <v>0</v>
      </c>
      <c r="AF788" s="72" t="s">
        <v>776</v>
      </c>
      <c r="AG788" s="72" t="s">
        <v>776</v>
      </c>
      <c r="AH788" s="88" t="s">
        <v>776</v>
      </c>
      <c r="AT788" s="20" t="e">
        <f t="shared" ref="AT788:AT804" si="154">VLOOKUP(C788,AW:AX,2,FALSE)</f>
        <v>#N/A</v>
      </c>
      <c r="BZ788" s="71">
        <v>21856214.649999999</v>
      </c>
      <c r="CB788" s="71">
        <f>BZ788-D788</f>
        <v>0</v>
      </c>
      <c r="CD788" s="20" t="e">
        <f t="shared" si="151"/>
        <v>#N/A</v>
      </c>
    </row>
    <row r="789" spans="1:82" ht="61.5" x14ac:dyDescent="0.85">
      <c r="A789" s="20">
        <v>1</v>
      </c>
      <c r="B789" s="66">
        <f>SUBTOTAL(103,$A$552:A789)</f>
        <v>234</v>
      </c>
      <c r="C789" s="24" t="s">
        <v>392</v>
      </c>
      <c r="D789" s="31">
        <f>E789+F789+G789+H789+I789+J789+L789+N789+P789+R789+T789+U789+V789+W789+X789+Y789+Z789+AA789+AB789+AC789+AD789+AE789</f>
        <v>8993212</v>
      </c>
      <c r="E789" s="31">
        <v>0</v>
      </c>
      <c r="F789" s="31">
        <v>0</v>
      </c>
      <c r="G789" s="31">
        <v>0</v>
      </c>
      <c r="H789" s="31">
        <v>0</v>
      </c>
      <c r="I789" s="31">
        <v>0</v>
      </c>
      <c r="J789" s="31">
        <v>0</v>
      </c>
      <c r="K789" s="33">
        <v>4</v>
      </c>
      <c r="L789" s="31">
        <v>8863212</v>
      </c>
      <c r="M789" s="31">
        <v>0</v>
      </c>
      <c r="N789" s="31">
        <v>0</v>
      </c>
      <c r="O789" s="31">
        <v>0</v>
      </c>
      <c r="P789" s="31">
        <v>0</v>
      </c>
      <c r="Q789" s="31">
        <v>0</v>
      </c>
      <c r="R789" s="31">
        <v>0</v>
      </c>
      <c r="S789" s="31">
        <v>0</v>
      </c>
      <c r="T789" s="31">
        <v>0</v>
      </c>
      <c r="U789" s="31">
        <v>0</v>
      </c>
      <c r="V789" s="31">
        <v>0</v>
      </c>
      <c r="W789" s="31">
        <v>0</v>
      </c>
      <c r="X789" s="31">
        <v>0</v>
      </c>
      <c r="Y789" s="31">
        <v>0</v>
      </c>
      <c r="Z789" s="31">
        <v>0</v>
      </c>
      <c r="AA789" s="31">
        <v>0</v>
      </c>
      <c r="AB789" s="31">
        <v>0</v>
      </c>
      <c r="AC789" s="31">
        <v>0</v>
      </c>
      <c r="AD789" s="31">
        <v>130000</v>
      </c>
      <c r="AE789" s="31">
        <v>0</v>
      </c>
      <c r="AF789" s="34">
        <v>2021</v>
      </c>
      <c r="AG789" s="34">
        <v>2021</v>
      </c>
      <c r="AH789" s="35" t="s">
        <v>274</v>
      </c>
      <c r="AT789" s="20" t="e">
        <f t="shared" si="154"/>
        <v>#N/A</v>
      </c>
      <c r="BZ789" s="71"/>
      <c r="CD789" s="20" t="e">
        <f t="shared" si="151"/>
        <v>#N/A</v>
      </c>
    </row>
    <row r="790" spans="1:82" ht="61.5" x14ac:dyDescent="0.85">
      <c r="A790" s="20">
        <v>1</v>
      </c>
      <c r="B790" s="66">
        <f>SUBTOTAL(103,$A$552:A790)</f>
        <v>235</v>
      </c>
      <c r="C790" s="24" t="s">
        <v>1702</v>
      </c>
      <c r="D790" s="31">
        <f>E790+F790+G790+H790+I790+J790+L790+N790+P790+R790+T790+U790+V790+W790+X790+Y790+Z790+AA790+AB790+AC790+AD790+AE790</f>
        <v>7201018.8100000005</v>
      </c>
      <c r="E790" s="31">
        <v>601798.30000000005</v>
      </c>
      <c r="F790" s="31">
        <v>1360064.57</v>
      </c>
      <c r="G790" s="31">
        <v>2159210.9500000002</v>
      </c>
      <c r="H790" s="31">
        <v>1072260.3</v>
      </c>
      <c r="I790" s="31">
        <v>1605699.19</v>
      </c>
      <c r="J790" s="31">
        <v>0</v>
      </c>
      <c r="K790" s="33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f>ROUND((E790+F790+G790+H790+I790+J790)*1.5%,2)</f>
        <v>101985.5</v>
      </c>
      <c r="AD790" s="31">
        <v>300000</v>
      </c>
      <c r="AE790" s="31">
        <v>0</v>
      </c>
      <c r="AF790" s="34">
        <v>2021</v>
      </c>
      <c r="AG790" s="34">
        <v>2021</v>
      </c>
      <c r="AH790" s="35">
        <v>2021</v>
      </c>
      <c r="AT790" s="20" t="e">
        <f t="shared" si="154"/>
        <v>#N/A</v>
      </c>
      <c r="BZ790" s="71"/>
      <c r="CD790" s="20" t="e">
        <f t="shared" si="151"/>
        <v>#N/A</v>
      </c>
    </row>
    <row r="791" spans="1:82" ht="61.5" x14ac:dyDescent="0.85">
      <c r="A791" s="20">
        <v>1</v>
      </c>
      <c r="B791" s="66">
        <f>SUBTOTAL(103,$A$552:A791)</f>
        <v>236</v>
      </c>
      <c r="C791" s="24" t="s">
        <v>393</v>
      </c>
      <c r="D791" s="31">
        <f>E791+F791+G791+H791+I791+J791+L791+N791+P791+R791+T791+U791+V791+W791+X791+Y791+Z791+AA791+AB791+AC791+AD791+AE791</f>
        <v>5661983.8399999999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3">
        <v>0</v>
      </c>
      <c r="L791" s="31">
        <v>0</v>
      </c>
      <c r="M791" s="31">
        <v>0</v>
      </c>
      <c r="N791" s="31">
        <v>0</v>
      </c>
      <c r="O791" s="31">
        <v>0</v>
      </c>
      <c r="P791" s="31">
        <v>0</v>
      </c>
      <c r="Q791" s="31">
        <v>2476.9</v>
      </c>
      <c r="R791" s="31">
        <v>5381264.8700000001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f>ROUND(R791*1.5%,2)</f>
        <v>80718.97</v>
      </c>
      <c r="AD791" s="31">
        <v>200000</v>
      </c>
      <c r="AE791" s="31">
        <v>0</v>
      </c>
      <c r="AF791" s="34">
        <v>2021</v>
      </c>
      <c r="AG791" s="34">
        <v>2021</v>
      </c>
      <c r="AH791" s="35">
        <v>2021</v>
      </c>
      <c r="AT791" s="20" t="e">
        <f t="shared" si="154"/>
        <v>#N/A</v>
      </c>
      <c r="BZ791" s="71"/>
      <c r="CD791" s="20" t="e">
        <f t="shared" si="151"/>
        <v>#N/A</v>
      </c>
    </row>
    <row r="792" spans="1:82" ht="61.5" x14ac:dyDescent="0.85">
      <c r="B792" s="24" t="s">
        <v>840</v>
      </c>
      <c r="C792" s="129"/>
      <c r="D792" s="31">
        <f t="shared" ref="D792:AE792" si="155">SUM(D793:D810)</f>
        <v>82591708.530000001</v>
      </c>
      <c r="E792" s="31">
        <f t="shared" si="155"/>
        <v>0</v>
      </c>
      <c r="F792" s="31">
        <f t="shared" si="155"/>
        <v>0</v>
      </c>
      <c r="G792" s="31">
        <f t="shared" si="155"/>
        <v>0</v>
      </c>
      <c r="H792" s="31">
        <f t="shared" si="155"/>
        <v>0</v>
      </c>
      <c r="I792" s="31">
        <f t="shared" si="155"/>
        <v>0</v>
      </c>
      <c r="J792" s="31">
        <f t="shared" si="155"/>
        <v>0</v>
      </c>
      <c r="K792" s="76">
        <f t="shared" si="155"/>
        <v>1</v>
      </c>
      <c r="L792" s="31">
        <f t="shared" si="155"/>
        <v>2138303</v>
      </c>
      <c r="M792" s="31">
        <f t="shared" si="155"/>
        <v>12432.779999999999</v>
      </c>
      <c r="N792" s="31">
        <f t="shared" si="155"/>
        <v>60290092.540000014</v>
      </c>
      <c r="O792" s="31">
        <f t="shared" si="155"/>
        <v>0</v>
      </c>
      <c r="P792" s="31">
        <f t="shared" si="155"/>
        <v>0</v>
      </c>
      <c r="Q792" s="31">
        <f t="shared" si="155"/>
        <v>2448</v>
      </c>
      <c r="R792" s="31">
        <f t="shared" si="155"/>
        <v>12099320.48</v>
      </c>
      <c r="S792" s="31">
        <f t="shared" si="155"/>
        <v>229</v>
      </c>
      <c r="T792" s="31">
        <f t="shared" si="155"/>
        <v>4510493.9000000004</v>
      </c>
      <c r="U792" s="31">
        <f t="shared" si="155"/>
        <v>0</v>
      </c>
      <c r="V792" s="31">
        <f t="shared" si="155"/>
        <v>0</v>
      </c>
      <c r="W792" s="31">
        <f t="shared" si="155"/>
        <v>0</v>
      </c>
      <c r="X792" s="31">
        <f t="shared" si="155"/>
        <v>0</v>
      </c>
      <c r="Y792" s="31">
        <f t="shared" si="155"/>
        <v>0</v>
      </c>
      <c r="Z792" s="31">
        <f t="shared" si="155"/>
        <v>0</v>
      </c>
      <c r="AA792" s="31">
        <f t="shared" si="155"/>
        <v>0</v>
      </c>
      <c r="AB792" s="31">
        <f t="shared" si="155"/>
        <v>0</v>
      </c>
      <c r="AC792" s="31">
        <f t="shared" si="155"/>
        <v>1153498.6100000001</v>
      </c>
      <c r="AD792" s="31">
        <f t="shared" si="155"/>
        <v>2400000</v>
      </c>
      <c r="AE792" s="31">
        <f t="shared" si="155"/>
        <v>0</v>
      </c>
      <c r="AF792" s="72" t="s">
        <v>776</v>
      </c>
      <c r="AG792" s="72" t="s">
        <v>776</v>
      </c>
      <c r="AH792" s="88" t="s">
        <v>776</v>
      </c>
      <c r="AT792" s="20" t="e">
        <f t="shared" si="154"/>
        <v>#N/A</v>
      </c>
      <c r="BZ792" s="71">
        <v>55019080.369999997</v>
      </c>
      <c r="CB792" s="71">
        <f>BZ792-D792</f>
        <v>-27572628.160000004</v>
      </c>
      <c r="CD792" s="20" t="e">
        <f t="shared" si="151"/>
        <v>#N/A</v>
      </c>
    </row>
    <row r="793" spans="1:82" ht="61.5" x14ac:dyDescent="0.85">
      <c r="A793" s="20">
        <v>1</v>
      </c>
      <c r="B793" s="66">
        <f>SUBTOTAL(103,$A$552:A793)</f>
        <v>237</v>
      </c>
      <c r="C793" s="24" t="s">
        <v>630</v>
      </c>
      <c r="D793" s="31">
        <f t="shared" ref="D793:D804" si="156">E793+F793+G793+H793+I793+J793+L793+N793+P793+R793+T793+U793+V793+W793+X793+Y793+Z793+AA793+AB793+AC793+AD793+AE793</f>
        <v>4335833</v>
      </c>
      <c r="E793" s="36">
        <v>0</v>
      </c>
      <c r="F793" s="36">
        <v>0</v>
      </c>
      <c r="G793" s="36">
        <v>0</v>
      </c>
      <c r="H793" s="36">
        <v>0</v>
      </c>
      <c r="I793" s="36">
        <v>0</v>
      </c>
      <c r="J793" s="36">
        <v>0</v>
      </c>
      <c r="K793" s="33">
        <v>0</v>
      </c>
      <c r="L793" s="31">
        <v>0</v>
      </c>
      <c r="M793" s="31">
        <v>773</v>
      </c>
      <c r="N793" s="31">
        <v>4123973.4</v>
      </c>
      <c r="O793" s="31">
        <v>0</v>
      </c>
      <c r="P793" s="31">
        <v>0</v>
      </c>
      <c r="Q793" s="31">
        <v>0</v>
      </c>
      <c r="R793" s="31">
        <v>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f t="shared" ref="AC793:AC801" si="157">ROUND(N793*1.5%,2)</f>
        <v>61859.6</v>
      </c>
      <c r="AD793" s="31">
        <v>150000</v>
      </c>
      <c r="AE793" s="31">
        <v>0</v>
      </c>
      <c r="AF793" s="34">
        <v>2021</v>
      </c>
      <c r="AG793" s="34">
        <v>2021</v>
      </c>
      <c r="AH793" s="35">
        <v>2021</v>
      </c>
      <c r="AT793" s="20" t="e">
        <f t="shared" si="154"/>
        <v>#N/A</v>
      </c>
      <c r="BZ793" s="71"/>
      <c r="CD793" s="20" t="e">
        <f t="shared" si="151"/>
        <v>#N/A</v>
      </c>
    </row>
    <row r="794" spans="1:82" ht="61.5" x14ac:dyDescent="0.85">
      <c r="A794" s="20">
        <v>1</v>
      </c>
      <c r="B794" s="66">
        <f>SUBTOTAL(103,$A$552:A794)</f>
        <v>238</v>
      </c>
      <c r="C794" s="24" t="s">
        <v>631</v>
      </c>
      <c r="D794" s="31">
        <f t="shared" si="156"/>
        <v>5909484.1499999994</v>
      </c>
      <c r="E794" s="36">
        <v>0</v>
      </c>
      <c r="F794" s="36">
        <v>0</v>
      </c>
      <c r="G794" s="36">
        <v>0</v>
      </c>
      <c r="H794" s="36">
        <v>0</v>
      </c>
      <c r="I794" s="36">
        <v>0</v>
      </c>
      <c r="J794" s="36">
        <v>0</v>
      </c>
      <c r="K794" s="33">
        <v>0</v>
      </c>
      <c r="L794" s="31">
        <v>0</v>
      </c>
      <c r="M794" s="31">
        <v>1050</v>
      </c>
      <c r="N794" s="31">
        <v>5644811.9699999997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31">
        <v>0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f t="shared" si="157"/>
        <v>84672.18</v>
      </c>
      <c r="AD794" s="31">
        <v>180000</v>
      </c>
      <c r="AE794" s="31">
        <v>0</v>
      </c>
      <c r="AF794" s="34">
        <v>2021</v>
      </c>
      <c r="AG794" s="34">
        <v>2021</v>
      </c>
      <c r="AH794" s="35">
        <v>2021</v>
      </c>
      <c r="AT794" s="20" t="e">
        <f t="shared" si="154"/>
        <v>#N/A</v>
      </c>
      <c r="BZ794" s="71"/>
      <c r="CD794" s="20" t="e">
        <f t="shared" si="151"/>
        <v>#N/A</v>
      </c>
    </row>
    <row r="795" spans="1:82" ht="61.5" x14ac:dyDescent="0.85">
      <c r="A795" s="20">
        <v>1</v>
      </c>
      <c r="B795" s="66">
        <f>SUBTOTAL(103,$A$552:A795)</f>
        <v>239</v>
      </c>
      <c r="C795" s="24" t="s">
        <v>632</v>
      </c>
      <c r="D795" s="31">
        <f t="shared" si="156"/>
        <v>4721220</v>
      </c>
      <c r="E795" s="36">
        <v>0</v>
      </c>
      <c r="F795" s="36">
        <v>0</v>
      </c>
      <c r="G795" s="36">
        <v>0</v>
      </c>
      <c r="H795" s="36">
        <v>0</v>
      </c>
      <c r="I795" s="36">
        <v>0</v>
      </c>
      <c r="J795" s="36">
        <v>0</v>
      </c>
      <c r="K795" s="33">
        <v>0</v>
      </c>
      <c r="L795" s="31">
        <v>0</v>
      </c>
      <c r="M795" s="31">
        <v>945</v>
      </c>
      <c r="N795" s="31">
        <v>4503665.0199999996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f t="shared" si="157"/>
        <v>67554.98</v>
      </c>
      <c r="AD795" s="31">
        <v>150000</v>
      </c>
      <c r="AE795" s="31">
        <v>0</v>
      </c>
      <c r="AF795" s="34">
        <v>2021</v>
      </c>
      <c r="AG795" s="34">
        <v>2021</v>
      </c>
      <c r="AH795" s="35">
        <v>2021</v>
      </c>
      <c r="AT795" s="20" t="e">
        <f t="shared" si="154"/>
        <v>#N/A</v>
      </c>
      <c r="BZ795" s="71"/>
      <c r="CD795" s="20" t="e">
        <f t="shared" si="151"/>
        <v>#N/A</v>
      </c>
    </row>
    <row r="796" spans="1:82" ht="61.5" x14ac:dyDescent="0.85">
      <c r="A796" s="20">
        <v>1</v>
      </c>
      <c r="B796" s="66">
        <f>SUBTOTAL(103,$A$552:A796)</f>
        <v>240</v>
      </c>
      <c r="C796" s="24" t="s">
        <v>637</v>
      </c>
      <c r="D796" s="31">
        <f t="shared" si="156"/>
        <v>3393650</v>
      </c>
      <c r="E796" s="36">
        <v>0</v>
      </c>
      <c r="F796" s="36">
        <v>0</v>
      </c>
      <c r="G796" s="36">
        <v>0</v>
      </c>
      <c r="H796" s="36">
        <v>0</v>
      </c>
      <c r="I796" s="36">
        <v>0</v>
      </c>
      <c r="J796" s="36">
        <v>0</v>
      </c>
      <c r="K796" s="33">
        <v>0</v>
      </c>
      <c r="L796" s="31">
        <v>0</v>
      </c>
      <c r="M796" s="31">
        <v>650</v>
      </c>
      <c r="N796" s="31">
        <v>3195714.29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f t="shared" si="157"/>
        <v>47935.71</v>
      </c>
      <c r="AD796" s="31">
        <v>150000</v>
      </c>
      <c r="AE796" s="31">
        <v>0</v>
      </c>
      <c r="AF796" s="34">
        <v>2021</v>
      </c>
      <c r="AG796" s="34">
        <v>2021</v>
      </c>
      <c r="AH796" s="35">
        <v>2021</v>
      </c>
      <c r="AT796" s="20">
        <f t="shared" si="154"/>
        <v>1</v>
      </c>
      <c r="BZ796" s="71"/>
      <c r="CD796" s="20" t="e">
        <f t="shared" si="151"/>
        <v>#N/A</v>
      </c>
    </row>
    <row r="797" spans="1:82" ht="61.5" x14ac:dyDescent="0.85">
      <c r="A797" s="20">
        <v>1</v>
      </c>
      <c r="B797" s="66">
        <f>SUBTOTAL(103,$A$552:A797)</f>
        <v>241</v>
      </c>
      <c r="C797" s="24" t="s">
        <v>638</v>
      </c>
      <c r="D797" s="31">
        <f t="shared" si="156"/>
        <v>5195840</v>
      </c>
      <c r="E797" s="36">
        <v>0</v>
      </c>
      <c r="F797" s="36">
        <v>0</v>
      </c>
      <c r="G797" s="36">
        <v>0</v>
      </c>
      <c r="H797" s="36">
        <v>0</v>
      </c>
      <c r="I797" s="36">
        <v>0</v>
      </c>
      <c r="J797" s="36">
        <v>0</v>
      </c>
      <c r="K797" s="33">
        <v>0</v>
      </c>
      <c r="L797" s="31">
        <v>0</v>
      </c>
      <c r="M797" s="31">
        <v>1040</v>
      </c>
      <c r="N797" s="31">
        <v>4941714.29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f t="shared" si="157"/>
        <v>74125.710000000006</v>
      </c>
      <c r="AD797" s="31">
        <v>180000</v>
      </c>
      <c r="AE797" s="31">
        <v>0</v>
      </c>
      <c r="AF797" s="34">
        <v>2021</v>
      </c>
      <c r="AG797" s="34">
        <v>2021</v>
      </c>
      <c r="AH797" s="35">
        <v>2021</v>
      </c>
      <c r="AT797" s="20" t="e">
        <f t="shared" si="154"/>
        <v>#N/A</v>
      </c>
      <c r="BZ797" s="71"/>
      <c r="CD797" s="20" t="e">
        <f t="shared" si="151"/>
        <v>#N/A</v>
      </c>
    </row>
    <row r="798" spans="1:82" ht="61.5" x14ac:dyDescent="0.85">
      <c r="A798" s="20">
        <v>1</v>
      </c>
      <c r="B798" s="66">
        <f>SUBTOTAL(103,$A$552:A798)</f>
        <v>242</v>
      </c>
      <c r="C798" s="24" t="s">
        <v>636</v>
      </c>
      <c r="D798" s="31">
        <f t="shared" si="156"/>
        <v>4892077</v>
      </c>
      <c r="E798" s="36">
        <v>0</v>
      </c>
      <c r="F798" s="36">
        <v>0</v>
      </c>
      <c r="G798" s="36">
        <v>0</v>
      </c>
      <c r="H798" s="36">
        <v>0</v>
      </c>
      <c r="I798" s="36">
        <v>0</v>
      </c>
      <c r="J798" s="36">
        <v>0</v>
      </c>
      <c r="K798" s="33">
        <v>0</v>
      </c>
      <c r="L798" s="31">
        <v>0</v>
      </c>
      <c r="M798" s="31">
        <v>937</v>
      </c>
      <c r="N798" s="31">
        <v>4671997.04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f t="shared" si="157"/>
        <v>70079.960000000006</v>
      </c>
      <c r="AD798" s="31">
        <v>150000</v>
      </c>
      <c r="AE798" s="31">
        <v>0</v>
      </c>
      <c r="AF798" s="34">
        <v>2021</v>
      </c>
      <c r="AG798" s="34">
        <v>2021</v>
      </c>
      <c r="AH798" s="35">
        <v>2021</v>
      </c>
      <c r="AT798" s="20">
        <f t="shared" si="154"/>
        <v>1</v>
      </c>
      <c r="BZ798" s="71"/>
      <c r="CD798" s="20" t="e">
        <f t="shared" si="151"/>
        <v>#N/A</v>
      </c>
    </row>
    <row r="799" spans="1:82" ht="61.5" x14ac:dyDescent="0.85">
      <c r="A799" s="20">
        <v>1</v>
      </c>
      <c r="B799" s="66">
        <f>SUBTOTAL(103,$A$552:A799)</f>
        <v>243</v>
      </c>
      <c r="C799" s="24" t="s">
        <v>627</v>
      </c>
      <c r="D799" s="31">
        <f t="shared" si="156"/>
        <v>2921671.6</v>
      </c>
      <c r="E799" s="36">
        <v>0</v>
      </c>
      <c r="F799" s="36">
        <v>0</v>
      </c>
      <c r="G799" s="36">
        <v>0</v>
      </c>
      <c r="H799" s="36">
        <v>0</v>
      </c>
      <c r="I799" s="36">
        <v>0</v>
      </c>
      <c r="J799" s="36">
        <v>0</v>
      </c>
      <c r="K799" s="33">
        <v>0</v>
      </c>
      <c r="L799" s="31">
        <v>0</v>
      </c>
      <c r="M799" s="31">
        <v>559.6</v>
      </c>
      <c r="N799" s="31">
        <v>2730710.94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f t="shared" si="157"/>
        <v>40960.660000000003</v>
      </c>
      <c r="AD799" s="31">
        <v>150000</v>
      </c>
      <c r="AE799" s="31">
        <v>0</v>
      </c>
      <c r="AF799" s="34">
        <v>2021</v>
      </c>
      <c r="AG799" s="34">
        <v>2021</v>
      </c>
      <c r="AH799" s="35">
        <v>2021</v>
      </c>
      <c r="AT799" s="20" t="e">
        <f t="shared" si="154"/>
        <v>#N/A</v>
      </c>
      <c r="BZ799" s="71"/>
      <c r="CD799" s="20" t="e">
        <f t="shared" si="151"/>
        <v>#N/A</v>
      </c>
    </row>
    <row r="800" spans="1:82" ht="61.5" x14ac:dyDescent="0.85">
      <c r="A800" s="20">
        <v>1</v>
      </c>
      <c r="B800" s="66">
        <f>SUBTOTAL(103,$A$552:A800)</f>
        <v>244</v>
      </c>
      <c r="C800" s="24" t="s">
        <v>642</v>
      </c>
      <c r="D800" s="31">
        <f t="shared" si="156"/>
        <v>4923403</v>
      </c>
      <c r="E800" s="36">
        <v>0</v>
      </c>
      <c r="F800" s="36">
        <v>0</v>
      </c>
      <c r="G800" s="36">
        <v>0</v>
      </c>
      <c r="H800" s="36">
        <v>0</v>
      </c>
      <c r="I800" s="36">
        <v>0</v>
      </c>
      <c r="J800" s="36">
        <v>0</v>
      </c>
      <c r="K800" s="33">
        <v>0</v>
      </c>
      <c r="L800" s="31">
        <v>0</v>
      </c>
      <c r="M800" s="31">
        <v>943</v>
      </c>
      <c r="N800" s="31">
        <v>4702860.0999999996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  <c r="V800" s="31">
        <v>0</v>
      </c>
      <c r="W800" s="31">
        <v>0</v>
      </c>
      <c r="X800" s="31">
        <v>0</v>
      </c>
      <c r="Y800" s="31">
        <v>0</v>
      </c>
      <c r="Z800" s="31">
        <v>0</v>
      </c>
      <c r="AA800" s="31">
        <v>0</v>
      </c>
      <c r="AB800" s="31">
        <v>0</v>
      </c>
      <c r="AC800" s="31">
        <f t="shared" si="157"/>
        <v>70542.899999999994</v>
      </c>
      <c r="AD800" s="31">
        <v>150000</v>
      </c>
      <c r="AE800" s="31">
        <v>0</v>
      </c>
      <c r="AF800" s="34">
        <v>2021</v>
      </c>
      <c r="AG800" s="34">
        <v>2021</v>
      </c>
      <c r="AH800" s="35">
        <v>2021</v>
      </c>
      <c r="AT800" s="20" t="e">
        <f t="shared" si="154"/>
        <v>#N/A</v>
      </c>
      <c r="BZ800" s="71"/>
      <c r="CD800" s="20" t="e">
        <f t="shared" si="151"/>
        <v>#N/A</v>
      </c>
    </row>
    <row r="801" spans="1:82" ht="61.5" x14ac:dyDescent="0.85">
      <c r="A801" s="20">
        <v>1</v>
      </c>
      <c r="B801" s="66">
        <f>SUBTOTAL(103,$A$552:A801)</f>
        <v>245</v>
      </c>
      <c r="C801" s="24" t="s">
        <v>641</v>
      </c>
      <c r="D801" s="31">
        <f t="shared" si="156"/>
        <v>2767130</v>
      </c>
      <c r="E801" s="36">
        <v>0</v>
      </c>
      <c r="F801" s="36">
        <v>0</v>
      </c>
      <c r="G801" s="36">
        <v>0</v>
      </c>
      <c r="H801" s="36">
        <v>0</v>
      </c>
      <c r="I801" s="36">
        <v>0</v>
      </c>
      <c r="J801" s="36">
        <v>0</v>
      </c>
      <c r="K801" s="33">
        <v>0</v>
      </c>
      <c r="L801" s="31">
        <v>0</v>
      </c>
      <c r="M801" s="31">
        <v>530</v>
      </c>
      <c r="N801" s="31">
        <v>2578453.2000000002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0</v>
      </c>
      <c r="U801" s="31">
        <v>0</v>
      </c>
      <c r="V801" s="31">
        <v>0</v>
      </c>
      <c r="W801" s="31">
        <v>0</v>
      </c>
      <c r="X801" s="31">
        <v>0</v>
      </c>
      <c r="Y801" s="31">
        <v>0</v>
      </c>
      <c r="Z801" s="31">
        <v>0</v>
      </c>
      <c r="AA801" s="31">
        <v>0</v>
      </c>
      <c r="AB801" s="31">
        <v>0</v>
      </c>
      <c r="AC801" s="31">
        <f t="shared" si="157"/>
        <v>38676.800000000003</v>
      </c>
      <c r="AD801" s="31">
        <v>150000</v>
      </c>
      <c r="AE801" s="31">
        <v>0</v>
      </c>
      <c r="AF801" s="34">
        <v>2021</v>
      </c>
      <c r="AG801" s="34">
        <v>2021</v>
      </c>
      <c r="AH801" s="35">
        <v>2021</v>
      </c>
      <c r="AT801" s="20" t="e">
        <f t="shared" si="154"/>
        <v>#N/A</v>
      </c>
      <c r="BZ801" s="71"/>
      <c r="CD801" s="20" t="e">
        <f t="shared" si="151"/>
        <v>#N/A</v>
      </c>
    </row>
    <row r="802" spans="1:82" ht="61.5" x14ac:dyDescent="0.85">
      <c r="A802" s="20">
        <v>1</v>
      </c>
      <c r="B802" s="66">
        <f>SUBTOTAL(103,$A$552:A802)</f>
        <v>246</v>
      </c>
      <c r="C802" s="24" t="s">
        <v>646</v>
      </c>
      <c r="D802" s="31">
        <f t="shared" si="156"/>
        <v>2248303</v>
      </c>
      <c r="E802" s="36">
        <v>0</v>
      </c>
      <c r="F802" s="36">
        <v>0</v>
      </c>
      <c r="G802" s="36">
        <v>0</v>
      </c>
      <c r="H802" s="36">
        <v>0</v>
      </c>
      <c r="I802" s="36">
        <v>0</v>
      </c>
      <c r="J802" s="36">
        <v>0</v>
      </c>
      <c r="K802" s="33">
        <v>1</v>
      </c>
      <c r="L802" s="31">
        <f>2148303-10000</f>
        <v>2138303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0</v>
      </c>
      <c r="U802" s="31">
        <v>0</v>
      </c>
      <c r="V802" s="31">
        <v>0</v>
      </c>
      <c r="W802" s="31">
        <v>0</v>
      </c>
      <c r="X802" s="31">
        <v>0</v>
      </c>
      <c r="Y802" s="31">
        <v>0</v>
      </c>
      <c r="Z802" s="31">
        <v>0</v>
      </c>
      <c r="AA802" s="31">
        <v>0</v>
      </c>
      <c r="AB802" s="31">
        <v>0</v>
      </c>
      <c r="AC802" s="31">
        <v>0</v>
      </c>
      <c r="AD802" s="31">
        <v>110000</v>
      </c>
      <c r="AE802" s="31">
        <v>0</v>
      </c>
      <c r="AF802" s="34">
        <v>2021</v>
      </c>
      <c r="AG802" s="34">
        <v>2021</v>
      </c>
      <c r="AH802" s="35" t="s">
        <v>274</v>
      </c>
      <c r="AT802" s="20" t="e">
        <f t="shared" si="154"/>
        <v>#N/A</v>
      </c>
      <c r="BZ802" s="71"/>
      <c r="CD802" s="20" t="e">
        <f t="shared" si="151"/>
        <v>#N/A</v>
      </c>
    </row>
    <row r="803" spans="1:82" ht="61.5" x14ac:dyDescent="0.85">
      <c r="A803" s="20">
        <v>1</v>
      </c>
      <c r="B803" s="66">
        <f>SUBTOTAL(103,$A$552:A803)</f>
        <v>247</v>
      </c>
      <c r="C803" s="24" t="s">
        <v>653</v>
      </c>
      <c r="D803" s="31">
        <f t="shared" si="156"/>
        <v>5495600.0099999998</v>
      </c>
      <c r="E803" s="36">
        <v>0</v>
      </c>
      <c r="F803" s="36">
        <v>0</v>
      </c>
      <c r="G803" s="36">
        <v>0</v>
      </c>
      <c r="H803" s="36">
        <v>0</v>
      </c>
      <c r="I803" s="36">
        <v>0</v>
      </c>
      <c r="J803" s="36">
        <v>0</v>
      </c>
      <c r="K803" s="33">
        <v>0</v>
      </c>
      <c r="L803" s="31">
        <v>0</v>
      </c>
      <c r="M803" s="31">
        <v>1100</v>
      </c>
      <c r="N803" s="31">
        <v>5237044.34</v>
      </c>
      <c r="O803" s="31">
        <v>0</v>
      </c>
      <c r="P803" s="31">
        <v>0</v>
      </c>
      <c r="Q803" s="31">
        <v>0</v>
      </c>
      <c r="R803" s="31">
        <v>0</v>
      </c>
      <c r="S803" s="31">
        <v>0</v>
      </c>
      <c r="T803" s="31">
        <v>0</v>
      </c>
      <c r="U803" s="31">
        <v>0</v>
      </c>
      <c r="V803" s="31">
        <v>0</v>
      </c>
      <c r="W803" s="31">
        <v>0</v>
      </c>
      <c r="X803" s="31">
        <v>0</v>
      </c>
      <c r="Y803" s="31">
        <v>0</v>
      </c>
      <c r="Z803" s="31">
        <v>0</v>
      </c>
      <c r="AA803" s="31">
        <v>0</v>
      </c>
      <c r="AB803" s="31">
        <v>0</v>
      </c>
      <c r="AC803" s="31">
        <f t="shared" ref="AC803:AC809" si="158">ROUND(N803*1.5%,2)</f>
        <v>78555.67</v>
      </c>
      <c r="AD803" s="31">
        <v>180000</v>
      </c>
      <c r="AE803" s="31">
        <v>0</v>
      </c>
      <c r="AF803" s="34">
        <v>2021</v>
      </c>
      <c r="AG803" s="34">
        <v>2021</v>
      </c>
      <c r="AH803" s="35">
        <v>2021</v>
      </c>
      <c r="AT803" s="20" t="e">
        <f t="shared" si="154"/>
        <v>#N/A</v>
      </c>
      <c r="BZ803" s="71"/>
      <c r="CD803" s="20" t="e">
        <f t="shared" si="151"/>
        <v>#N/A</v>
      </c>
    </row>
    <row r="804" spans="1:82" ht="61.5" x14ac:dyDescent="0.85">
      <c r="A804" s="20">
        <v>1</v>
      </c>
      <c r="B804" s="66">
        <f>SUBTOTAL(103,$A$552:A804)</f>
        <v>248</v>
      </c>
      <c r="C804" s="24" t="s">
        <v>644</v>
      </c>
      <c r="D804" s="31">
        <f t="shared" si="156"/>
        <v>4364006</v>
      </c>
      <c r="E804" s="36">
        <v>0</v>
      </c>
      <c r="F804" s="36">
        <v>0</v>
      </c>
      <c r="G804" s="36">
        <v>0</v>
      </c>
      <c r="H804" s="36">
        <v>0</v>
      </c>
      <c r="I804" s="36">
        <v>0</v>
      </c>
      <c r="J804" s="36">
        <v>0</v>
      </c>
      <c r="K804" s="33">
        <v>0</v>
      </c>
      <c r="L804" s="31">
        <v>0</v>
      </c>
      <c r="M804" s="31">
        <v>873.5</v>
      </c>
      <c r="N804" s="31">
        <v>4151730.05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  <c r="V804" s="31">
        <v>0</v>
      </c>
      <c r="W804" s="31">
        <v>0</v>
      </c>
      <c r="X804" s="31">
        <v>0</v>
      </c>
      <c r="Y804" s="31">
        <v>0</v>
      </c>
      <c r="Z804" s="31">
        <v>0</v>
      </c>
      <c r="AA804" s="31">
        <v>0</v>
      </c>
      <c r="AB804" s="31">
        <v>0</v>
      </c>
      <c r="AC804" s="31">
        <f t="shared" si="158"/>
        <v>62275.95</v>
      </c>
      <c r="AD804" s="31">
        <v>150000</v>
      </c>
      <c r="AE804" s="31">
        <v>0</v>
      </c>
      <c r="AF804" s="34">
        <v>2021</v>
      </c>
      <c r="AG804" s="34">
        <v>2021</v>
      </c>
      <c r="AH804" s="35">
        <v>2021</v>
      </c>
      <c r="AT804" s="20" t="e">
        <f t="shared" si="154"/>
        <v>#N/A</v>
      </c>
      <c r="BZ804" s="71"/>
      <c r="CD804" s="20" t="e">
        <f t="shared" si="151"/>
        <v>#N/A</v>
      </c>
    </row>
    <row r="805" spans="1:82" ht="61.5" x14ac:dyDescent="0.85">
      <c r="A805" s="20">
        <v>1</v>
      </c>
      <c r="B805" s="66">
        <f>SUBTOTAL(103,$A$552:A805)</f>
        <v>249</v>
      </c>
      <c r="C805" s="24" t="s">
        <v>1642</v>
      </c>
      <c r="D805" s="31">
        <f t="shared" ref="D805:D809" si="159">E805+F805+G805+H805+I805+J805+L805+N805+P805+R805+T805+U805+V805+W805+X805+Y805+Z805+AA805+AB805+AC805+AD805+AE805</f>
        <v>3850862.6100000003</v>
      </c>
      <c r="E805" s="31">
        <v>0</v>
      </c>
      <c r="F805" s="31">
        <v>0</v>
      </c>
      <c r="G805" s="31">
        <v>0</v>
      </c>
      <c r="H805" s="31">
        <v>0</v>
      </c>
      <c r="I805" s="31">
        <v>0</v>
      </c>
      <c r="J805" s="31">
        <v>0</v>
      </c>
      <c r="K805" s="33">
        <v>0</v>
      </c>
      <c r="L805" s="31">
        <v>0</v>
      </c>
      <c r="M805" s="31">
        <v>766</v>
      </c>
      <c r="N805" s="31">
        <f>3812708.18-206610.58+59776.89</f>
        <v>3665874.49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0</v>
      </c>
      <c r="U805" s="31">
        <v>0</v>
      </c>
      <c r="V805" s="31">
        <v>0</v>
      </c>
      <c r="W805" s="31">
        <v>0</v>
      </c>
      <c r="X805" s="31">
        <v>0</v>
      </c>
      <c r="Y805" s="31">
        <v>0</v>
      </c>
      <c r="Z805" s="31">
        <v>0</v>
      </c>
      <c r="AA805" s="31">
        <v>0</v>
      </c>
      <c r="AB805" s="31">
        <v>0</v>
      </c>
      <c r="AC805" s="31">
        <f t="shared" si="158"/>
        <v>54988.12</v>
      </c>
      <c r="AD805" s="31">
        <v>130000</v>
      </c>
      <c r="AE805" s="31">
        <v>0</v>
      </c>
      <c r="AF805" s="34">
        <v>2021</v>
      </c>
      <c r="AG805" s="34">
        <v>2021</v>
      </c>
      <c r="AH805" s="35">
        <v>2021</v>
      </c>
      <c r="BZ805" s="71"/>
      <c r="CD805" s="20" t="e">
        <f t="shared" si="151"/>
        <v>#N/A</v>
      </c>
    </row>
    <row r="806" spans="1:82" ht="61.5" x14ac:dyDescent="0.85">
      <c r="A806" s="20">
        <v>1</v>
      </c>
      <c r="B806" s="66">
        <f>SUBTOTAL(103,$A$552:A806)</f>
        <v>250</v>
      </c>
      <c r="C806" s="24" t="s">
        <v>1665</v>
      </c>
      <c r="D806" s="31">
        <f t="shared" si="159"/>
        <v>2693242.85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3">
        <v>0</v>
      </c>
      <c r="L806" s="31">
        <v>0</v>
      </c>
      <c r="M806" s="31">
        <v>729.73</v>
      </c>
      <c r="N806" s="31">
        <v>2554919.06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1">
        <v>0</v>
      </c>
      <c r="Y806" s="31">
        <v>0</v>
      </c>
      <c r="Z806" s="31">
        <v>0</v>
      </c>
      <c r="AA806" s="31">
        <v>0</v>
      </c>
      <c r="AB806" s="31">
        <v>0</v>
      </c>
      <c r="AC806" s="31">
        <f t="shared" si="158"/>
        <v>38323.79</v>
      </c>
      <c r="AD806" s="31">
        <v>100000</v>
      </c>
      <c r="AE806" s="31">
        <v>0</v>
      </c>
      <c r="AF806" s="34">
        <v>2021</v>
      </c>
      <c r="AG806" s="34">
        <v>2021</v>
      </c>
      <c r="AH806" s="35">
        <v>2021</v>
      </c>
      <c r="BZ806" s="71"/>
      <c r="CD806" s="20" t="e">
        <f t="shared" si="151"/>
        <v>#N/A</v>
      </c>
    </row>
    <row r="807" spans="1:82" ht="61.5" x14ac:dyDescent="0.85">
      <c r="A807" s="20">
        <v>1</v>
      </c>
      <c r="B807" s="66">
        <f>SUBTOTAL(103,$A$552:A807)</f>
        <v>251</v>
      </c>
      <c r="C807" s="24" t="s">
        <v>1666</v>
      </c>
      <c r="D807" s="31">
        <f t="shared" si="159"/>
        <v>2003970.19</v>
      </c>
      <c r="E807" s="31">
        <v>0</v>
      </c>
      <c r="F807" s="31">
        <v>0</v>
      </c>
      <c r="G807" s="31">
        <v>0</v>
      </c>
      <c r="H807" s="31">
        <v>0</v>
      </c>
      <c r="I807" s="31">
        <v>0</v>
      </c>
      <c r="J807" s="31">
        <v>0</v>
      </c>
      <c r="K807" s="33">
        <v>0</v>
      </c>
      <c r="L807" s="31">
        <v>0</v>
      </c>
      <c r="M807" s="31">
        <v>383.77</v>
      </c>
      <c r="N807" s="31">
        <v>1875832.7</v>
      </c>
      <c r="O807" s="31">
        <v>0</v>
      </c>
      <c r="P807" s="31">
        <v>0</v>
      </c>
      <c r="Q807" s="31">
        <v>0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1">
        <v>0</v>
      </c>
      <c r="Y807" s="31">
        <v>0</v>
      </c>
      <c r="Z807" s="31">
        <v>0</v>
      </c>
      <c r="AA807" s="31">
        <v>0</v>
      </c>
      <c r="AB807" s="31">
        <v>0</v>
      </c>
      <c r="AC807" s="31">
        <f t="shared" si="158"/>
        <v>28137.49</v>
      </c>
      <c r="AD807" s="31">
        <v>100000</v>
      </c>
      <c r="AE807" s="31">
        <v>0</v>
      </c>
      <c r="AF807" s="34">
        <v>2021</v>
      </c>
      <c r="AG807" s="34">
        <v>2021</v>
      </c>
      <c r="AH807" s="35">
        <v>2021</v>
      </c>
      <c r="BZ807" s="71"/>
      <c r="CD807" s="20" t="e">
        <f t="shared" si="151"/>
        <v>#N/A</v>
      </c>
    </row>
    <row r="808" spans="1:82" ht="61.5" x14ac:dyDescent="0.85">
      <c r="A808" s="20">
        <v>1</v>
      </c>
      <c r="B808" s="66">
        <f>SUBTOTAL(103,$A$552:A808)</f>
        <v>252</v>
      </c>
      <c r="C808" s="24" t="s">
        <v>1667</v>
      </c>
      <c r="D808" s="31">
        <f t="shared" si="159"/>
        <v>3795204.2399999998</v>
      </c>
      <c r="E808" s="31">
        <v>0</v>
      </c>
      <c r="F808" s="31">
        <v>0</v>
      </c>
      <c r="G808" s="31">
        <v>0</v>
      </c>
      <c r="H808" s="31">
        <v>0</v>
      </c>
      <c r="I808" s="31">
        <v>0</v>
      </c>
      <c r="J808" s="31">
        <v>0</v>
      </c>
      <c r="K808" s="33">
        <v>0</v>
      </c>
      <c r="L808" s="31">
        <v>0</v>
      </c>
      <c r="M808" s="31">
        <v>726.8</v>
      </c>
      <c r="N808" s="31">
        <v>3620890.88</v>
      </c>
      <c r="O808" s="31">
        <v>0</v>
      </c>
      <c r="P808" s="31">
        <v>0</v>
      </c>
      <c r="Q808" s="31">
        <v>0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1">
        <v>0</v>
      </c>
      <c r="Y808" s="31">
        <v>0</v>
      </c>
      <c r="Z808" s="31">
        <v>0</v>
      </c>
      <c r="AA808" s="31">
        <v>0</v>
      </c>
      <c r="AB808" s="31">
        <v>0</v>
      </c>
      <c r="AC808" s="31">
        <f t="shared" si="158"/>
        <v>54313.36</v>
      </c>
      <c r="AD808" s="31">
        <v>120000</v>
      </c>
      <c r="AE808" s="31">
        <v>0</v>
      </c>
      <c r="AF808" s="34">
        <v>2021</v>
      </c>
      <c r="AG808" s="34">
        <v>2021</v>
      </c>
      <c r="AH808" s="35">
        <v>2021</v>
      </c>
      <c r="BZ808" s="71"/>
      <c r="CD808" s="20" t="e">
        <f t="shared" si="151"/>
        <v>#N/A</v>
      </c>
    </row>
    <row r="809" spans="1:82" ht="61.5" x14ac:dyDescent="0.85">
      <c r="A809" s="20">
        <v>1</v>
      </c>
      <c r="B809" s="66">
        <f>SUBTOTAL(103,$A$552:A809)</f>
        <v>253</v>
      </c>
      <c r="C809" s="24" t="s">
        <v>1668</v>
      </c>
      <c r="D809" s="31">
        <f t="shared" si="159"/>
        <v>2221249.2799999998</v>
      </c>
      <c r="E809" s="31">
        <v>0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3">
        <v>0</v>
      </c>
      <c r="L809" s="31">
        <v>0</v>
      </c>
      <c r="M809" s="31">
        <v>425.38</v>
      </c>
      <c r="N809" s="31">
        <v>2089900.77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1">
        <v>0</v>
      </c>
      <c r="Y809" s="31">
        <v>0</v>
      </c>
      <c r="Z809" s="31">
        <v>0</v>
      </c>
      <c r="AA809" s="31">
        <v>0</v>
      </c>
      <c r="AB809" s="31">
        <v>0</v>
      </c>
      <c r="AC809" s="31">
        <f t="shared" si="158"/>
        <v>31348.51</v>
      </c>
      <c r="AD809" s="31">
        <v>100000</v>
      </c>
      <c r="AE809" s="31">
        <v>0</v>
      </c>
      <c r="AF809" s="34">
        <v>2021</v>
      </c>
      <c r="AG809" s="34">
        <v>2021</v>
      </c>
      <c r="AH809" s="35">
        <v>2021</v>
      </c>
      <c r="BZ809" s="71"/>
      <c r="CD809" s="20" t="e">
        <f t="shared" si="151"/>
        <v>#N/A</v>
      </c>
    </row>
    <row r="810" spans="1:82" ht="61.5" x14ac:dyDescent="0.85">
      <c r="A810" s="20">
        <v>1</v>
      </c>
      <c r="B810" s="66">
        <f>SUBTOTAL(103,$A$552:A810)</f>
        <v>254</v>
      </c>
      <c r="C810" s="24" t="s">
        <v>640</v>
      </c>
      <c r="D810" s="31">
        <f t="shared" ref="D810" si="160">E810+F810+G810+H810+I810+J810+L810+N810+P810+R810+T810+U810+V810+W810+X810+Y810+Z810+AA810+AB810+AC810+AD810+AE810</f>
        <v>16858961.600000001</v>
      </c>
      <c r="E810" s="36">
        <v>0</v>
      </c>
      <c r="F810" s="36">
        <v>0</v>
      </c>
      <c r="G810" s="36">
        <v>0</v>
      </c>
      <c r="H810" s="36">
        <v>0</v>
      </c>
      <c r="I810" s="36">
        <v>0</v>
      </c>
      <c r="J810" s="36">
        <v>0</v>
      </c>
      <c r="K810" s="33">
        <v>0</v>
      </c>
      <c r="L810" s="31">
        <v>0</v>
      </c>
      <c r="M810" s="31">
        <v>0</v>
      </c>
      <c r="N810" s="31">
        <v>0</v>
      </c>
      <c r="O810" s="36">
        <v>0</v>
      </c>
      <c r="P810" s="36">
        <v>0</v>
      </c>
      <c r="Q810" s="31">
        <v>2448</v>
      </c>
      <c r="R810" s="31">
        <f>13074770.52-1165153.63+43983.36+394249.55-377278.61+128749.29</f>
        <v>12099320.48</v>
      </c>
      <c r="S810" s="31">
        <v>229</v>
      </c>
      <c r="T810" s="31">
        <f>ROUND((4698151.31-120000)/101.5*100,2)</f>
        <v>4510493.9000000004</v>
      </c>
      <c r="U810" s="31">
        <v>0</v>
      </c>
      <c r="V810" s="31">
        <v>0</v>
      </c>
      <c r="W810" s="31">
        <v>0</v>
      </c>
      <c r="X810" s="31">
        <v>0</v>
      </c>
      <c r="Y810" s="31">
        <v>0</v>
      </c>
      <c r="Z810" s="31">
        <v>0</v>
      </c>
      <c r="AA810" s="31">
        <v>0</v>
      </c>
      <c r="AB810" s="31">
        <v>0</v>
      </c>
      <c r="AC810" s="31">
        <f>ROUND((R810+T810)*1.5%,2)</f>
        <v>249147.22</v>
      </c>
      <c r="AD810" s="31">
        <v>0</v>
      </c>
      <c r="AE810" s="31">
        <v>0</v>
      </c>
      <c r="AF810" s="34" t="s">
        <v>274</v>
      </c>
      <c r="AG810" s="34">
        <v>2021</v>
      </c>
      <c r="AH810" s="35">
        <v>2021</v>
      </c>
      <c r="AT810" s="20" t="e">
        <f t="shared" ref="AT810:AT840" si="161">VLOOKUP(C810,AW:AX,2,FALSE)</f>
        <v>#N/A</v>
      </c>
      <c r="BZ810" s="71"/>
      <c r="CD810" s="20" t="e">
        <f t="shared" si="151"/>
        <v>#N/A</v>
      </c>
    </row>
    <row r="811" spans="1:82" ht="61.5" x14ac:dyDescent="0.85">
      <c r="B811" s="24" t="s">
        <v>841</v>
      </c>
      <c r="C811" s="24"/>
      <c r="D811" s="31">
        <f t="shared" ref="D811:AE811" si="162">SUM(D812:D813)</f>
        <v>10075097.600000001</v>
      </c>
      <c r="E811" s="31">
        <f t="shared" si="162"/>
        <v>0</v>
      </c>
      <c r="F811" s="31">
        <f t="shared" si="162"/>
        <v>0</v>
      </c>
      <c r="G811" s="31">
        <f t="shared" si="162"/>
        <v>0</v>
      </c>
      <c r="H811" s="31">
        <f t="shared" si="162"/>
        <v>0</v>
      </c>
      <c r="I811" s="31">
        <f t="shared" si="162"/>
        <v>0</v>
      </c>
      <c r="J811" s="31">
        <f t="shared" si="162"/>
        <v>0</v>
      </c>
      <c r="K811" s="33">
        <f t="shared" si="162"/>
        <v>0</v>
      </c>
      <c r="L811" s="31">
        <f t="shared" si="162"/>
        <v>0</v>
      </c>
      <c r="M811" s="31">
        <f t="shared" si="162"/>
        <v>1978.1</v>
      </c>
      <c r="N811" s="31">
        <f t="shared" si="162"/>
        <v>9601081.379999999</v>
      </c>
      <c r="O811" s="31">
        <f t="shared" si="162"/>
        <v>0</v>
      </c>
      <c r="P811" s="31">
        <f t="shared" si="162"/>
        <v>0</v>
      </c>
      <c r="Q811" s="31">
        <f t="shared" si="162"/>
        <v>0</v>
      </c>
      <c r="R811" s="31">
        <f t="shared" si="162"/>
        <v>0</v>
      </c>
      <c r="S811" s="31">
        <f t="shared" si="162"/>
        <v>0</v>
      </c>
      <c r="T811" s="31">
        <f t="shared" si="162"/>
        <v>0</v>
      </c>
      <c r="U811" s="31">
        <f t="shared" si="162"/>
        <v>0</v>
      </c>
      <c r="V811" s="31">
        <f t="shared" si="162"/>
        <v>0</v>
      </c>
      <c r="W811" s="31">
        <f t="shared" si="162"/>
        <v>0</v>
      </c>
      <c r="X811" s="31">
        <f t="shared" si="162"/>
        <v>0</v>
      </c>
      <c r="Y811" s="31">
        <f t="shared" si="162"/>
        <v>0</v>
      </c>
      <c r="Z811" s="31">
        <f t="shared" si="162"/>
        <v>0</v>
      </c>
      <c r="AA811" s="31">
        <f t="shared" si="162"/>
        <v>0</v>
      </c>
      <c r="AB811" s="31">
        <f t="shared" si="162"/>
        <v>0</v>
      </c>
      <c r="AC811" s="31">
        <f t="shared" si="162"/>
        <v>144016.22</v>
      </c>
      <c r="AD811" s="31">
        <f t="shared" si="162"/>
        <v>330000</v>
      </c>
      <c r="AE811" s="31">
        <f t="shared" si="162"/>
        <v>0</v>
      </c>
      <c r="AF811" s="72" t="s">
        <v>776</v>
      </c>
      <c r="AG811" s="72" t="s">
        <v>776</v>
      </c>
      <c r="AH811" s="88" t="s">
        <v>776</v>
      </c>
      <c r="AT811" s="20" t="e">
        <f t="shared" si="161"/>
        <v>#N/A</v>
      </c>
      <c r="BZ811" s="71">
        <v>10075097.600000001</v>
      </c>
      <c r="CD811" s="20" t="e">
        <f t="shared" si="151"/>
        <v>#N/A</v>
      </c>
    </row>
    <row r="812" spans="1:82" ht="61.5" x14ac:dyDescent="0.85">
      <c r="A812" s="20">
        <v>1</v>
      </c>
      <c r="B812" s="66">
        <f>SUBTOTAL(103,$A$552:A812)</f>
        <v>255</v>
      </c>
      <c r="C812" s="24" t="s">
        <v>662</v>
      </c>
      <c r="D812" s="31">
        <f>E812+F812+G812+H812+I812+J812+L812+N812+P812+R812+T812+U812+V812+W812+X812+Y812+Z812+AA812+AB812+AC812+AD812+AE812</f>
        <v>5608010</v>
      </c>
      <c r="E812" s="36">
        <v>0</v>
      </c>
      <c r="F812" s="36">
        <v>0</v>
      </c>
      <c r="G812" s="36">
        <v>0</v>
      </c>
      <c r="H812" s="36">
        <v>0</v>
      </c>
      <c r="I812" s="36">
        <v>0</v>
      </c>
      <c r="J812" s="36">
        <v>0</v>
      </c>
      <c r="K812" s="33">
        <v>0</v>
      </c>
      <c r="L812" s="31">
        <v>0</v>
      </c>
      <c r="M812" s="31">
        <v>1122.5</v>
      </c>
      <c r="N812" s="31">
        <v>5347793.0999999996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1">
        <v>0</v>
      </c>
      <c r="Y812" s="31">
        <v>0</v>
      </c>
      <c r="Z812" s="31">
        <v>0</v>
      </c>
      <c r="AA812" s="31">
        <v>0</v>
      </c>
      <c r="AB812" s="31">
        <v>0</v>
      </c>
      <c r="AC812" s="31">
        <f>ROUND(N812*1.5%,2)</f>
        <v>80216.899999999994</v>
      </c>
      <c r="AD812" s="31">
        <v>180000</v>
      </c>
      <c r="AE812" s="31">
        <v>0</v>
      </c>
      <c r="AF812" s="34">
        <v>2021</v>
      </c>
      <c r="AG812" s="34">
        <v>2021</v>
      </c>
      <c r="AH812" s="35">
        <v>2021</v>
      </c>
      <c r="AT812" s="20" t="e">
        <f t="shared" si="161"/>
        <v>#N/A</v>
      </c>
      <c r="BZ812" s="71"/>
      <c r="CD812" s="20" t="e">
        <f t="shared" si="151"/>
        <v>#N/A</v>
      </c>
    </row>
    <row r="813" spans="1:82" ht="61.5" x14ac:dyDescent="0.85">
      <c r="A813" s="20">
        <v>1</v>
      </c>
      <c r="B813" s="66">
        <f>SUBTOTAL(103,$A$552:A813)</f>
        <v>256</v>
      </c>
      <c r="C813" s="24" t="s">
        <v>659</v>
      </c>
      <c r="D813" s="31">
        <f>E813+F813+G813+H813+I813+J813+L813+N813+P813+R813+T813+U813+V813+W813+X813+Y813+Z813+AA813+AB813+AC813+AD813+AE813</f>
        <v>4467087.6000000006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3">
        <v>0</v>
      </c>
      <c r="L813" s="31">
        <v>0</v>
      </c>
      <c r="M813" s="31">
        <v>855.6</v>
      </c>
      <c r="N813" s="31">
        <v>4253288.28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0</v>
      </c>
      <c r="U813" s="31">
        <v>0</v>
      </c>
      <c r="V813" s="31">
        <v>0</v>
      </c>
      <c r="W813" s="31">
        <v>0</v>
      </c>
      <c r="X813" s="31">
        <v>0</v>
      </c>
      <c r="Y813" s="31">
        <v>0</v>
      </c>
      <c r="Z813" s="31">
        <v>0</v>
      </c>
      <c r="AA813" s="31">
        <v>0</v>
      </c>
      <c r="AB813" s="31">
        <v>0</v>
      </c>
      <c r="AC813" s="31">
        <f>ROUND(N813*1.5%,2)</f>
        <v>63799.32</v>
      </c>
      <c r="AD813" s="31">
        <v>150000</v>
      </c>
      <c r="AE813" s="31">
        <v>0</v>
      </c>
      <c r="AF813" s="34">
        <v>2021</v>
      </c>
      <c r="AG813" s="34">
        <v>2021</v>
      </c>
      <c r="AH813" s="35">
        <v>2021</v>
      </c>
      <c r="AT813" s="20" t="e">
        <f t="shared" si="161"/>
        <v>#N/A</v>
      </c>
      <c r="BZ813" s="71"/>
      <c r="CD813" s="20" t="e">
        <f t="shared" si="151"/>
        <v>#N/A</v>
      </c>
    </row>
    <row r="814" spans="1:82" ht="61.5" x14ac:dyDescent="0.85">
      <c r="B814" s="24" t="s">
        <v>842</v>
      </c>
      <c r="C814" s="24"/>
      <c r="D814" s="31">
        <f t="shared" ref="D814:AE814" si="163">SUM(D815:D818)</f>
        <v>13069363.829999998</v>
      </c>
      <c r="E814" s="31">
        <f t="shared" si="163"/>
        <v>0</v>
      </c>
      <c r="F814" s="31">
        <f t="shared" si="163"/>
        <v>0</v>
      </c>
      <c r="G814" s="31">
        <f t="shared" si="163"/>
        <v>0</v>
      </c>
      <c r="H814" s="31">
        <f t="shared" si="163"/>
        <v>0</v>
      </c>
      <c r="I814" s="31">
        <f t="shared" si="163"/>
        <v>0</v>
      </c>
      <c r="J814" s="31">
        <f t="shared" si="163"/>
        <v>0</v>
      </c>
      <c r="K814" s="33">
        <f t="shared" si="163"/>
        <v>0</v>
      </c>
      <c r="L814" s="31">
        <f t="shared" si="163"/>
        <v>0</v>
      </c>
      <c r="M814" s="31">
        <f t="shared" si="163"/>
        <v>2503.23</v>
      </c>
      <c r="N814" s="31">
        <f t="shared" si="163"/>
        <v>12314644.17</v>
      </c>
      <c r="O814" s="31">
        <f t="shared" si="163"/>
        <v>0</v>
      </c>
      <c r="P814" s="31">
        <f t="shared" si="163"/>
        <v>0</v>
      </c>
      <c r="Q814" s="31">
        <f t="shared" si="163"/>
        <v>0</v>
      </c>
      <c r="R814" s="31">
        <f t="shared" si="163"/>
        <v>0</v>
      </c>
      <c r="S814" s="31">
        <f t="shared" si="163"/>
        <v>0</v>
      </c>
      <c r="T814" s="31">
        <f t="shared" si="163"/>
        <v>0</v>
      </c>
      <c r="U814" s="31">
        <f t="shared" si="163"/>
        <v>0</v>
      </c>
      <c r="V814" s="31">
        <f t="shared" si="163"/>
        <v>0</v>
      </c>
      <c r="W814" s="31">
        <f t="shared" si="163"/>
        <v>0</v>
      </c>
      <c r="X814" s="31">
        <f t="shared" si="163"/>
        <v>0</v>
      </c>
      <c r="Y814" s="31">
        <f t="shared" si="163"/>
        <v>0</v>
      </c>
      <c r="Z814" s="31">
        <f t="shared" si="163"/>
        <v>0</v>
      </c>
      <c r="AA814" s="31">
        <f t="shared" si="163"/>
        <v>0</v>
      </c>
      <c r="AB814" s="31">
        <f t="shared" si="163"/>
        <v>0</v>
      </c>
      <c r="AC814" s="31">
        <f t="shared" si="163"/>
        <v>184719.65999999997</v>
      </c>
      <c r="AD814" s="31">
        <f t="shared" si="163"/>
        <v>570000</v>
      </c>
      <c r="AE814" s="31">
        <f t="shared" si="163"/>
        <v>0</v>
      </c>
      <c r="AF814" s="72" t="s">
        <v>776</v>
      </c>
      <c r="AG814" s="72" t="s">
        <v>776</v>
      </c>
      <c r="AH814" s="88" t="s">
        <v>776</v>
      </c>
      <c r="AT814" s="20" t="e">
        <f t="shared" si="161"/>
        <v>#N/A</v>
      </c>
      <c r="BZ814" s="71">
        <v>13069363.829999998</v>
      </c>
      <c r="CD814" s="20" t="e">
        <f t="shared" si="151"/>
        <v>#N/A</v>
      </c>
    </row>
    <row r="815" spans="1:82" ht="61.5" x14ac:dyDescent="0.85">
      <c r="A815" s="20">
        <v>1</v>
      </c>
      <c r="B815" s="66">
        <f>SUBTOTAL(103,$A$552:A815)</f>
        <v>257</v>
      </c>
      <c r="C815" s="24" t="s">
        <v>667</v>
      </c>
      <c r="D815" s="31">
        <f>E815+F815+G815+H815+I815+J815+L815+N815+P815+R815+T815+U815+V815+W815+X815+Y815+Z815+AA815+AB815+AC815+AD815+AE815</f>
        <v>1801245</v>
      </c>
      <c r="E815" s="36">
        <v>0</v>
      </c>
      <c r="F815" s="36">
        <v>0</v>
      </c>
      <c r="G815" s="36">
        <v>0</v>
      </c>
      <c r="H815" s="36">
        <v>0</v>
      </c>
      <c r="I815" s="36">
        <v>0</v>
      </c>
      <c r="J815" s="36">
        <v>0</v>
      </c>
      <c r="K815" s="33">
        <v>0</v>
      </c>
      <c r="L815" s="31">
        <v>0</v>
      </c>
      <c r="M815" s="31">
        <v>345</v>
      </c>
      <c r="N815" s="31">
        <v>1656399.01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0</v>
      </c>
      <c r="U815" s="31">
        <v>0</v>
      </c>
      <c r="V815" s="31">
        <v>0</v>
      </c>
      <c r="W815" s="31">
        <v>0</v>
      </c>
      <c r="X815" s="31">
        <v>0</v>
      </c>
      <c r="Y815" s="31">
        <v>0</v>
      </c>
      <c r="Z815" s="31">
        <v>0</v>
      </c>
      <c r="AA815" s="31">
        <v>0</v>
      </c>
      <c r="AB815" s="31">
        <v>0</v>
      </c>
      <c r="AC815" s="31">
        <f>ROUND(N815*1.5%,2)</f>
        <v>24845.99</v>
      </c>
      <c r="AD815" s="31">
        <v>120000</v>
      </c>
      <c r="AE815" s="31">
        <v>0</v>
      </c>
      <c r="AF815" s="34">
        <v>2021</v>
      </c>
      <c r="AG815" s="34">
        <v>2021</v>
      </c>
      <c r="AH815" s="35">
        <v>2021</v>
      </c>
      <c r="AT815" s="20" t="e">
        <f t="shared" si="161"/>
        <v>#N/A</v>
      </c>
      <c r="BZ815" s="71"/>
      <c r="CD815" s="20" t="e">
        <f t="shared" si="151"/>
        <v>#N/A</v>
      </c>
    </row>
    <row r="816" spans="1:82" ht="61.5" x14ac:dyDescent="0.85">
      <c r="A816" s="20">
        <v>1</v>
      </c>
      <c r="B816" s="66">
        <f>SUBTOTAL(103,$A$552:A816)</f>
        <v>258</v>
      </c>
      <c r="C816" s="24" t="s">
        <v>668</v>
      </c>
      <c r="D816" s="31">
        <f>E816+F816+G816+H816+I816+J816+L816+N816+P816+R816+T816+U816+V816+W816+X816+Y816+Z816+AA816+AB816+AC816+AD816+AE816</f>
        <v>4223945.63</v>
      </c>
      <c r="E816" s="36">
        <v>0</v>
      </c>
      <c r="F816" s="36">
        <v>0</v>
      </c>
      <c r="G816" s="36">
        <v>0</v>
      </c>
      <c r="H816" s="36">
        <v>0</v>
      </c>
      <c r="I816" s="36">
        <v>0</v>
      </c>
      <c r="J816" s="36">
        <v>0</v>
      </c>
      <c r="K816" s="33">
        <v>0</v>
      </c>
      <c r="L816" s="31">
        <v>0</v>
      </c>
      <c r="M816" s="31">
        <v>809.03</v>
      </c>
      <c r="N816" s="31">
        <v>4013739.54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0</v>
      </c>
      <c r="V816" s="31">
        <v>0</v>
      </c>
      <c r="W816" s="31">
        <v>0</v>
      </c>
      <c r="X816" s="31">
        <v>0</v>
      </c>
      <c r="Y816" s="31">
        <v>0</v>
      </c>
      <c r="Z816" s="31">
        <v>0</v>
      </c>
      <c r="AA816" s="31">
        <v>0</v>
      </c>
      <c r="AB816" s="31">
        <v>0</v>
      </c>
      <c r="AC816" s="31">
        <f>ROUND(N816*1.5%,2)</f>
        <v>60206.09</v>
      </c>
      <c r="AD816" s="31">
        <v>150000</v>
      </c>
      <c r="AE816" s="31">
        <v>0</v>
      </c>
      <c r="AF816" s="34">
        <v>2021</v>
      </c>
      <c r="AG816" s="34">
        <v>2021</v>
      </c>
      <c r="AH816" s="35">
        <v>2021</v>
      </c>
      <c r="AT816" s="20" t="e">
        <f t="shared" si="161"/>
        <v>#N/A</v>
      </c>
      <c r="BZ816" s="71"/>
      <c r="CD816" s="20" t="e">
        <f t="shared" si="151"/>
        <v>#N/A</v>
      </c>
    </row>
    <row r="817" spans="1:82" ht="61.5" x14ac:dyDescent="0.85">
      <c r="A817" s="20">
        <v>1</v>
      </c>
      <c r="B817" s="66">
        <f>SUBTOTAL(103,$A$552:A817)</f>
        <v>259</v>
      </c>
      <c r="C817" s="24" t="s">
        <v>669</v>
      </c>
      <c r="D817" s="31">
        <f>E817+F817+G817+H817+I817+J817+L817+N817+P817+R817+T817+U817+V817+W817+X817+Y817+Z817+AA817+AB817+AC817+AD817+AE817</f>
        <v>3905308</v>
      </c>
      <c r="E817" s="36">
        <v>0</v>
      </c>
      <c r="F817" s="36">
        <v>0</v>
      </c>
      <c r="G817" s="36">
        <v>0</v>
      </c>
      <c r="H817" s="36">
        <v>0</v>
      </c>
      <c r="I817" s="36">
        <v>0</v>
      </c>
      <c r="J817" s="36">
        <v>0</v>
      </c>
      <c r="K817" s="33">
        <v>0</v>
      </c>
      <c r="L817" s="31">
        <v>0</v>
      </c>
      <c r="M817" s="31">
        <v>748</v>
      </c>
      <c r="N817" s="31">
        <v>3699810.84</v>
      </c>
      <c r="O817" s="31">
        <v>0</v>
      </c>
      <c r="P817" s="31">
        <v>0</v>
      </c>
      <c r="Q817" s="31">
        <v>0</v>
      </c>
      <c r="R817" s="31">
        <v>0</v>
      </c>
      <c r="S817" s="31">
        <v>0</v>
      </c>
      <c r="T817" s="31">
        <v>0</v>
      </c>
      <c r="U817" s="31">
        <v>0</v>
      </c>
      <c r="V817" s="31">
        <v>0</v>
      </c>
      <c r="W817" s="31">
        <v>0</v>
      </c>
      <c r="X817" s="31">
        <v>0</v>
      </c>
      <c r="Y817" s="31">
        <v>0</v>
      </c>
      <c r="Z817" s="31">
        <v>0</v>
      </c>
      <c r="AA817" s="31">
        <v>0</v>
      </c>
      <c r="AB817" s="31">
        <v>0</v>
      </c>
      <c r="AC817" s="31">
        <f>ROUND(N817*1.5%,2)</f>
        <v>55497.16</v>
      </c>
      <c r="AD817" s="31">
        <v>150000</v>
      </c>
      <c r="AE817" s="31">
        <v>0</v>
      </c>
      <c r="AF817" s="34">
        <v>2021</v>
      </c>
      <c r="AG817" s="34">
        <v>2021</v>
      </c>
      <c r="AH817" s="35">
        <v>2021</v>
      </c>
      <c r="AT817" s="20" t="e">
        <f t="shared" si="161"/>
        <v>#N/A</v>
      </c>
      <c r="BZ817" s="71"/>
      <c r="CD817" s="20" t="e">
        <f t="shared" si="151"/>
        <v>#N/A</v>
      </c>
    </row>
    <row r="818" spans="1:82" ht="61.5" x14ac:dyDescent="0.85">
      <c r="A818" s="20">
        <v>1</v>
      </c>
      <c r="B818" s="66">
        <f>SUBTOTAL(103,$A$552:A818)</f>
        <v>260</v>
      </c>
      <c r="C818" s="24" t="s">
        <v>666</v>
      </c>
      <c r="D818" s="31">
        <f>E818+F818+G818+H818+I818+J818+L818+N818+P818+R818+T818+U818+V818+W818+X818+Y818+Z818+AA818+AB818+AC818+AD818+AE818</f>
        <v>3138865.1999999997</v>
      </c>
      <c r="E818" s="36">
        <v>0</v>
      </c>
      <c r="F818" s="36">
        <v>0</v>
      </c>
      <c r="G818" s="36">
        <v>0</v>
      </c>
      <c r="H818" s="36">
        <v>0</v>
      </c>
      <c r="I818" s="36">
        <v>0</v>
      </c>
      <c r="J818" s="36">
        <v>0</v>
      </c>
      <c r="K818" s="33">
        <v>0</v>
      </c>
      <c r="L818" s="31">
        <v>0</v>
      </c>
      <c r="M818" s="31">
        <v>601.20000000000005</v>
      </c>
      <c r="N818" s="31">
        <v>2944694.78</v>
      </c>
      <c r="O818" s="31">
        <v>0</v>
      </c>
      <c r="P818" s="31">
        <v>0</v>
      </c>
      <c r="Q818" s="31">
        <v>0</v>
      </c>
      <c r="R818" s="31">
        <v>0</v>
      </c>
      <c r="S818" s="31">
        <v>0</v>
      </c>
      <c r="T818" s="31">
        <v>0</v>
      </c>
      <c r="U818" s="31">
        <v>0</v>
      </c>
      <c r="V818" s="31">
        <v>0</v>
      </c>
      <c r="W818" s="31">
        <v>0</v>
      </c>
      <c r="X818" s="31">
        <v>0</v>
      </c>
      <c r="Y818" s="31">
        <v>0</v>
      </c>
      <c r="Z818" s="31">
        <v>0</v>
      </c>
      <c r="AA818" s="31">
        <v>0</v>
      </c>
      <c r="AB818" s="31">
        <v>0</v>
      </c>
      <c r="AC818" s="31">
        <f>ROUND(N818*1.5%,2)</f>
        <v>44170.42</v>
      </c>
      <c r="AD818" s="31">
        <v>150000</v>
      </c>
      <c r="AE818" s="31">
        <v>0</v>
      </c>
      <c r="AF818" s="34">
        <v>2021</v>
      </c>
      <c r="AG818" s="34">
        <v>2021</v>
      </c>
      <c r="AH818" s="35">
        <v>2021</v>
      </c>
      <c r="AT818" s="20" t="e">
        <f t="shared" si="161"/>
        <v>#N/A</v>
      </c>
      <c r="BZ818" s="71"/>
      <c r="CD818" s="20" t="e">
        <f t="shared" si="151"/>
        <v>#N/A</v>
      </c>
    </row>
    <row r="819" spans="1:82" ht="61.5" x14ac:dyDescent="0.85">
      <c r="B819" s="24" t="s">
        <v>843</v>
      </c>
      <c r="C819" s="24"/>
      <c r="D819" s="31">
        <f>SUM(D820:D821)</f>
        <v>9045880.0099999998</v>
      </c>
      <c r="E819" s="31">
        <f t="shared" ref="E819:AE819" si="164">SUM(E820:E821)</f>
        <v>0</v>
      </c>
      <c r="F819" s="31">
        <f t="shared" si="164"/>
        <v>0</v>
      </c>
      <c r="G819" s="31">
        <f t="shared" si="164"/>
        <v>0</v>
      </c>
      <c r="H819" s="31">
        <f t="shared" si="164"/>
        <v>0</v>
      </c>
      <c r="I819" s="31">
        <f t="shared" si="164"/>
        <v>0</v>
      </c>
      <c r="J819" s="31">
        <f t="shared" si="164"/>
        <v>0</v>
      </c>
      <c r="K819" s="33">
        <f t="shared" si="164"/>
        <v>0</v>
      </c>
      <c r="L819" s="31">
        <f t="shared" si="164"/>
        <v>0</v>
      </c>
      <c r="M819" s="31">
        <f t="shared" si="164"/>
        <v>1780</v>
      </c>
      <c r="N819" s="31">
        <f t="shared" si="164"/>
        <v>8587073.9000000004</v>
      </c>
      <c r="O819" s="31">
        <f t="shared" si="164"/>
        <v>0</v>
      </c>
      <c r="P819" s="31">
        <f t="shared" si="164"/>
        <v>0</v>
      </c>
      <c r="Q819" s="31">
        <f t="shared" si="164"/>
        <v>0</v>
      </c>
      <c r="R819" s="31">
        <f t="shared" si="164"/>
        <v>0</v>
      </c>
      <c r="S819" s="31">
        <f t="shared" si="164"/>
        <v>0</v>
      </c>
      <c r="T819" s="31">
        <f t="shared" si="164"/>
        <v>0</v>
      </c>
      <c r="U819" s="31">
        <f t="shared" si="164"/>
        <v>0</v>
      </c>
      <c r="V819" s="31">
        <f t="shared" si="164"/>
        <v>0</v>
      </c>
      <c r="W819" s="31">
        <f t="shared" si="164"/>
        <v>0</v>
      </c>
      <c r="X819" s="31">
        <f t="shared" si="164"/>
        <v>0</v>
      </c>
      <c r="Y819" s="31">
        <f t="shared" si="164"/>
        <v>0</v>
      </c>
      <c r="Z819" s="31">
        <f t="shared" si="164"/>
        <v>0</v>
      </c>
      <c r="AA819" s="31">
        <f t="shared" si="164"/>
        <v>0</v>
      </c>
      <c r="AB819" s="31">
        <f t="shared" si="164"/>
        <v>0</v>
      </c>
      <c r="AC819" s="31">
        <f t="shared" si="164"/>
        <v>128806.11</v>
      </c>
      <c r="AD819" s="31">
        <f t="shared" si="164"/>
        <v>330000</v>
      </c>
      <c r="AE819" s="31">
        <f t="shared" si="164"/>
        <v>0</v>
      </c>
      <c r="AF819" s="72" t="s">
        <v>776</v>
      </c>
      <c r="AG819" s="72" t="s">
        <v>776</v>
      </c>
      <c r="AH819" s="88" t="s">
        <v>776</v>
      </c>
      <c r="AT819" s="20" t="e">
        <f t="shared" si="161"/>
        <v>#N/A</v>
      </c>
      <c r="BZ819" s="71">
        <v>9045880.0099999998</v>
      </c>
      <c r="CD819" s="20" t="e">
        <f t="shared" si="151"/>
        <v>#N/A</v>
      </c>
    </row>
    <row r="820" spans="1:82" ht="61.5" x14ac:dyDescent="0.85">
      <c r="A820" s="20">
        <v>1</v>
      </c>
      <c r="B820" s="66">
        <f>SUBTOTAL(103,$A$552:A820)</f>
        <v>261</v>
      </c>
      <c r="C820" s="24" t="s">
        <v>674</v>
      </c>
      <c r="D820" s="31">
        <f>E820+F820+G820+H820+I820+J820+L820+N820+P820+R820+T820+U820+V820+W820+X820+Y820+Z820+AA820+AB820+AC820+AD820+AE820</f>
        <v>3550280</v>
      </c>
      <c r="E820" s="36">
        <v>0</v>
      </c>
      <c r="F820" s="36">
        <v>0</v>
      </c>
      <c r="G820" s="36">
        <v>0</v>
      </c>
      <c r="H820" s="36">
        <v>0</v>
      </c>
      <c r="I820" s="36">
        <v>0</v>
      </c>
      <c r="J820" s="36">
        <v>0</v>
      </c>
      <c r="K820" s="33">
        <v>0</v>
      </c>
      <c r="L820" s="31">
        <v>0</v>
      </c>
      <c r="M820" s="31">
        <v>680</v>
      </c>
      <c r="N820" s="31">
        <v>3350029.56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31">
        <v>0</v>
      </c>
      <c r="W820" s="31">
        <v>0</v>
      </c>
      <c r="X820" s="31">
        <v>0</v>
      </c>
      <c r="Y820" s="31">
        <v>0</v>
      </c>
      <c r="Z820" s="31">
        <v>0</v>
      </c>
      <c r="AA820" s="31">
        <v>0</v>
      </c>
      <c r="AB820" s="31">
        <v>0</v>
      </c>
      <c r="AC820" s="31">
        <f>ROUND(N820*1.5%,2)</f>
        <v>50250.44</v>
      </c>
      <c r="AD820" s="31">
        <v>150000</v>
      </c>
      <c r="AE820" s="31">
        <v>0</v>
      </c>
      <c r="AF820" s="34">
        <v>2021</v>
      </c>
      <c r="AG820" s="34">
        <v>2021</v>
      </c>
      <c r="AH820" s="35">
        <v>2021</v>
      </c>
      <c r="AT820" s="20" t="e">
        <f t="shared" si="161"/>
        <v>#N/A</v>
      </c>
      <c r="BZ820" s="71"/>
      <c r="CD820" s="20" t="e">
        <f t="shared" si="151"/>
        <v>#N/A</v>
      </c>
    </row>
    <row r="821" spans="1:82" ht="61.5" x14ac:dyDescent="0.85">
      <c r="A821" s="20">
        <v>1</v>
      </c>
      <c r="B821" s="66">
        <f>SUBTOTAL(103,$A$552:A821)</f>
        <v>262</v>
      </c>
      <c r="C821" s="24" t="s">
        <v>677</v>
      </c>
      <c r="D821" s="31">
        <f>E821+F821+G821+H821+I821+J821+L821+N821+P821+R821+T821+U821+V821+W821+X821+Y821+Z821+AA821+AB821+AC821+AD821+AE821</f>
        <v>5495600.0099999998</v>
      </c>
      <c r="E821" s="38">
        <v>0</v>
      </c>
      <c r="F821" s="38">
        <v>0</v>
      </c>
      <c r="G821" s="38">
        <v>0</v>
      </c>
      <c r="H821" s="38">
        <v>0</v>
      </c>
      <c r="I821" s="38">
        <v>0</v>
      </c>
      <c r="J821" s="38">
        <v>0</v>
      </c>
      <c r="K821" s="85">
        <v>0</v>
      </c>
      <c r="L821" s="38">
        <v>0</v>
      </c>
      <c r="M821" s="31">
        <v>1100</v>
      </c>
      <c r="N821" s="31">
        <v>5237044.34</v>
      </c>
      <c r="O821" s="31">
        <v>0</v>
      </c>
      <c r="P821" s="31">
        <v>0</v>
      </c>
      <c r="Q821" s="31">
        <v>0</v>
      </c>
      <c r="R821" s="31">
        <v>0</v>
      </c>
      <c r="S821" s="31">
        <v>0</v>
      </c>
      <c r="T821" s="31">
        <v>0</v>
      </c>
      <c r="U821" s="31">
        <v>0</v>
      </c>
      <c r="V821" s="31">
        <v>0</v>
      </c>
      <c r="W821" s="31">
        <v>0</v>
      </c>
      <c r="X821" s="31">
        <v>0</v>
      </c>
      <c r="Y821" s="31">
        <v>0</v>
      </c>
      <c r="Z821" s="31">
        <v>0</v>
      </c>
      <c r="AA821" s="31">
        <v>0</v>
      </c>
      <c r="AB821" s="31">
        <v>0</v>
      </c>
      <c r="AC821" s="31">
        <f>ROUND(N821*1.5%,2)</f>
        <v>78555.67</v>
      </c>
      <c r="AD821" s="31">
        <v>180000</v>
      </c>
      <c r="AE821" s="31">
        <v>0</v>
      </c>
      <c r="AF821" s="34">
        <v>2021</v>
      </c>
      <c r="AG821" s="34">
        <v>2021</v>
      </c>
      <c r="AH821" s="35">
        <v>2021</v>
      </c>
      <c r="AT821" s="20" t="e">
        <f t="shared" si="161"/>
        <v>#N/A</v>
      </c>
      <c r="BZ821" s="71"/>
      <c r="CD821" s="20" t="e">
        <f t="shared" si="151"/>
        <v>#N/A</v>
      </c>
    </row>
    <row r="822" spans="1:82" ht="61.5" x14ac:dyDescent="0.85">
      <c r="B822" s="24" t="s">
        <v>844</v>
      </c>
      <c r="C822" s="129"/>
      <c r="D822" s="31">
        <f>SUM(D823:D823)</f>
        <v>2579501.7000000002</v>
      </c>
      <c r="E822" s="31">
        <f t="shared" ref="E822:AE822" si="165">SUM(E823:E823)</f>
        <v>0</v>
      </c>
      <c r="F822" s="31">
        <f t="shared" si="165"/>
        <v>0</v>
      </c>
      <c r="G822" s="31">
        <f t="shared" si="165"/>
        <v>0</v>
      </c>
      <c r="H822" s="31">
        <f t="shared" si="165"/>
        <v>0</v>
      </c>
      <c r="I822" s="31">
        <f t="shared" si="165"/>
        <v>0</v>
      </c>
      <c r="J822" s="31">
        <f t="shared" si="165"/>
        <v>0</v>
      </c>
      <c r="K822" s="33">
        <f t="shared" si="165"/>
        <v>0</v>
      </c>
      <c r="L822" s="31">
        <f t="shared" si="165"/>
        <v>0</v>
      </c>
      <c r="M822" s="31">
        <f t="shared" si="165"/>
        <v>900</v>
      </c>
      <c r="N822" s="31">
        <f t="shared" si="165"/>
        <v>2393597.73</v>
      </c>
      <c r="O822" s="31">
        <f t="shared" si="165"/>
        <v>0</v>
      </c>
      <c r="P822" s="31">
        <f t="shared" si="165"/>
        <v>0</v>
      </c>
      <c r="Q822" s="31">
        <f t="shared" si="165"/>
        <v>0</v>
      </c>
      <c r="R822" s="31">
        <f t="shared" si="165"/>
        <v>0</v>
      </c>
      <c r="S822" s="31">
        <f t="shared" si="165"/>
        <v>0</v>
      </c>
      <c r="T822" s="31">
        <f t="shared" si="165"/>
        <v>0</v>
      </c>
      <c r="U822" s="31">
        <f t="shared" si="165"/>
        <v>0</v>
      </c>
      <c r="V822" s="31">
        <f t="shared" si="165"/>
        <v>0</v>
      </c>
      <c r="W822" s="31">
        <f t="shared" si="165"/>
        <v>0</v>
      </c>
      <c r="X822" s="31">
        <f t="shared" si="165"/>
        <v>0</v>
      </c>
      <c r="Y822" s="31">
        <f t="shared" si="165"/>
        <v>0</v>
      </c>
      <c r="Z822" s="31">
        <f t="shared" si="165"/>
        <v>0</v>
      </c>
      <c r="AA822" s="31">
        <f t="shared" si="165"/>
        <v>0</v>
      </c>
      <c r="AB822" s="31">
        <f t="shared" si="165"/>
        <v>0</v>
      </c>
      <c r="AC822" s="31">
        <f t="shared" si="165"/>
        <v>35903.97</v>
      </c>
      <c r="AD822" s="31">
        <f t="shared" si="165"/>
        <v>150000</v>
      </c>
      <c r="AE822" s="31">
        <f t="shared" si="165"/>
        <v>0</v>
      </c>
      <c r="AF822" s="72" t="s">
        <v>776</v>
      </c>
      <c r="AG822" s="72" t="s">
        <v>776</v>
      </c>
      <c r="AH822" s="88" t="s">
        <v>776</v>
      </c>
      <c r="AT822" s="20" t="e">
        <f t="shared" si="161"/>
        <v>#N/A</v>
      </c>
      <c r="BZ822" s="71">
        <v>2579501.7000000002</v>
      </c>
      <c r="CD822" s="20" t="e">
        <f t="shared" si="151"/>
        <v>#N/A</v>
      </c>
    </row>
    <row r="823" spans="1:82" ht="61.5" x14ac:dyDescent="0.85">
      <c r="A823" s="20">
        <v>1</v>
      </c>
      <c r="B823" s="66">
        <f>SUBTOTAL(103,$A$552:A823)</f>
        <v>263</v>
      </c>
      <c r="C823" s="24" t="s">
        <v>784</v>
      </c>
      <c r="D823" s="31">
        <f>E823+F823+G823+H823+I823+J823+L823+N823+P823+R823+T823+U823+V823+W823+X823+Y823+Z823+AA823+AB823+AC823+AD823+AE823</f>
        <v>2579501.7000000002</v>
      </c>
      <c r="E823" s="31">
        <v>0</v>
      </c>
      <c r="F823" s="31">
        <v>0</v>
      </c>
      <c r="G823" s="31">
        <v>0</v>
      </c>
      <c r="H823" s="31">
        <v>0</v>
      </c>
      <c r="I823" s="31">
        <v>0</v>
      </c>
      <c r="J823" s="31">
        <v>0</v>
      </c>
      <c r="K823" s="33">
        <v>0</v>
      </c>
      <c r="L823" s="31">
        <v>0</v>
      </c>
      <c r="M823" s="31">
        <v>900</v>
      </c>
      <c r="N823" s="31">
        <v>2393597.73</v>
      </c>
      <c r="O823" s="31">
        <v>0</v>
      </c>
      <c r="P823" s="31">
        <v>0</v>
      </c>
      <c r="Q823" s="31">
        <v>0</v>
      </c>
      <c r="R823" s="31">
        <v>0</v>
      </c>
      <c r="S823" s="31">
        <v>0</v>
      </c>
      <c r="T823" s="31">
        <v>0</v>
      </c>
      <c r="U823" s="31">
        <v>0</v>
      </c>
      <c r="V823" s="31">
        <v>0</v>
      </c>
      <c r="W823" s="31">
        <v>0</v>
      </c>
      <c r="X823" s="31">
        <v>0</v>
      </c>
      <c r="Y823" s="31">
        <v>0</v>
      </c>
      <c r="Z823" s="31">
        <v>0</v>
      </c>
      <c r="AA823" s="31">
        <v>0</v>
      </c>
      <c r="AB823" s="31">
        <v>0</v>
      </c>
      <c r="AC823" s="31">
        <f>ROUND(N823*1.5%,2)</f>
        <v>35903.97</v>
      </c>
      <c r="AD823" s="31">
        <v>150000</v>
      </c>
      <c r="AE823" s="31">
        <v>0</v>
      </c>
      <c r="AF823" s="34">
        <v>2021</v>
      </c>
      <c r="AG823" s="34">
        <v>2021</v>
      </c>
      <c r="AH823" s="35">
        <v>2021</v>
      </c>
      <c r="AT823" s="20" t="e">
        <f t="shared" si="161"/>
        <v>#N/A</v>
      </c>
      <c r="BZ823" s="71"/>
      <c r="CD823" s="20" t="e">
        <f t="shared" si="151"/>
        <v>#N/A</v>
      </c>
    </row>
    <row r="824" spans="1:82" ht="61.5" x14ac:dyDescent="0.85">
      <c r="B824" s="24" t="s">
        <v>846</v>
      </c>
      <c r="C824" s="24"/>
      <c r="D824" s="31">
        <f t="shared" ref="D824:AE824" si="166">SUM(D825:D826)</f>
        <v>3008567.42</v>
      </c>
      <c r="E824" s="31">
        <f t="shared" si="166"/>
        <v>0</v>
      </c>
      <c r="F824" s="31">
        <f t="shared" si="166"/>
        <v>0</v>
      </c>
      <c r="G824" s="31">
        <f t="shared" si="166"/>
        <v>0</v>
      </c>
      <c r="H824" s="31">
        <f t="shared" si="166"/>
        <v>0</v>
      </c>
      <c r="I824" s="31">
        <f t="shared" si="166"/>
        <v>357402.65</v>
      </c>
      <c r="J824" s="31">
        <f t="shared" si="166"/>
        <v>0</v>
      </c>
      <c r="K824" s="33">
        <f t="shared" si="166"/>
        <v>0</v>
      </c>
      <c r="L824" s="31">
        <f t="shared" si="166"/>
        <v>0</v>
      </c>
      <c r="M824" s="31">
        <f t="shared" si="166"/>
        <v>646</v>
      </c>
      <c r="N824" s="31">
        <f t="shared" si="166"/>
        <v>2419511.06</v>
      </c>
      <c r="O824" s="31">
        <f t="shared" si="166"/>
        <v>0</v>
      </c>
      <c r="P824" s="31">
        <f t="shared" si="166"/>
        <v>0</v>
      </c>
      <c r="Q824" s="31">
        <f t="shared" si="166"/>
        <v>0</v>
      </c>
      <c r="R824" s="31">
        <f t="shared" si="166"/>
        <v>0</v>
      </c>
      <c r="S824" s="31">
        <f t="shared" si="166"/>
        <v>0</v>
      </c>
      <c r="T824" s="31">
        <f t="shared" si="166"/>
        <v>0</v>
      </c>
      <c r="U824" s="31">
        <f t="shared" si="166"/>
        <v>0</v>
      </c>
      <c r="V824" s="31">
        <f t="shared" si="166"/>
        <v>0</v>
      </c>
      <c r="W824" s="31">
        <f t="shared" si="166"/>
        <v>0</v>
      </c>
      <c r="X824" s="31">
        <f t="shared" si="166"/>
        <v>0</v>
      </c>
      <c r="Y824" s="31">
        <f t="shared" si="166"/>
        <v>0</v>
      </c>
      <c r="Z824" s="31">
        <f t="shared" si="166"/>
        <v>0</v>
      </c>
      <c r="AA824" s="31">
        <f t="shared" si="166"/>
        <v>0</v>
      </c>
      <c r="AB824" s="31">
        <f t="shared" si="166"/>
        <v>0</v>
      </c>
      <c r="AC824" s="31">
        <f t="shared" si="166"/>
        <v>41653.71</v>
      </c>
      <c r="AD824" s="31">
        <f t="shared" si="166"/>
        <v>190000</v>
      </c>
      <c r="AE824" s="31">
        <f t="shared" si="166"/>
        <v>0</v>
      </c>
      <c r="AF824" s="72" t="s">
        <v>776</v>
      </c>
      <c r="AG824" s="72" t="s">
        <v>776</v>
      </c>
      <c r="AH824" s="88" t="s">
        <v>776</v>
      </c>
      <c r="AT824" s="20" t="e">
        <f t="shared" si="161"/>
        <v>#N/A</v>
      </c>
      <c r="BZ824" s="71">
        <v>3008567.42</v>
      </c>
      <c r="CD824" s="20" t="e">
        <f t="shared" si="151"/>
        <v>#N/A</v>
      </c>
    </row>
    <row r="825" spans="1:82" ht="61.5" x14ac:dyDescent="0.85">
      <c r="A825" s="20">
        <v>1</v>
      </c>
      <c r="B825" s="66">
        <f>SUBTOTAL(103,$A$552:A825)</f>
        <v>264</v>
      </c>
      <c r="C825" s="24" t="s">
        <v>710</v>
      </c>
      <c r="D825" s="31">
        <f>E825+F825+G825+H825+I825+J825+L825+N825+P825+R825+T825+U825+V825+W825+X825+Y825+Z825+AA825+AB825+AC825+AD825+AE825</f>
        <v>2605803.73</v>
      </c>
      <c r="E825" s="31">
        <v>0</v>
      </c>
      <c r="F825" s="31">
        <v>0</v>
      </c>
      <c r="G825" s="31">
        <v>0</v>
      </c>
      <c r="H825" s="31">
        <v>0</v>
      </c>
      <c r="I825" s="31">
        <v>0</v>
      </c>
      <c r="J825" s="31">
        <v>0</v>
      </c>
      <c r="K825" s="33">
        <v>0</v>
      </c>
      <c r="L825" s="31">
        <v>0</v>
      </c>
      <c r="M825" s="31">
        <v>646</v>
      </c>
      <c r="N825" s="31">
        <v>2419511.06</v>
      </c>
      <c r="O825" s="31">
        <v>0</v>
      </c>
      <c r="P825" s="31">
        <v>0</v>
      </c>
      <c r="Q825" s="31">
        <v>0</v>
      </c>
      <c r="R825" s="31">
        <v>0</v>
      </c>
      <c r="S825" s="31">
        <v>0</v>
      </c>
      <c r="T825" s="31">
        <v>0</v>
      </c>
      <c r="U825" s="31">
        <v>0</v>
      </c>
      <c r="V825" s="31">
        <v>0</v>
      </c>
      <c r="W825" s="31">
        <v>0</v>
      </c>
      <c r="X825" s="31">
        <v>0</v>
      </c>
      <c r="Y825" s="31">
        <v>0</v>
      </c>
      <c r="Z825" s="31">
        <v>0</v>
      </c>
      <c r="AA825" s="31">
        <v>0</v>
      </c>
      <c r="AB825" s="31">
        <v>0</v>
      </c>
      <c r="AC825" s="31">
        <f>ROUND(N825*1.5%,2)</f>
        <v>36292.67</v>
      </c>
      <c r="AD825" s="31">
        <v>150000</v>
      </c>
      <c r="AE825" s="31">
        <v>0</v>
      </c>
      <c r="AF825" s="34">
        <v>2021</v>
      </c>
      <c r="AG825" s="34">
        <v>2021</v>
      </c>
      <c r="AH825" s="35">
        <v>2021</v>
      </c>
      <c r="AT825" s="20" t="e">
        <f t="shared" si="161"/>
        <v>#N/A</v>
      </c>
      <c r="BZ825" s="71"/>
      <c r="CD825" s="20" t="e">
        <f t="shared" si="151"/>
        <v>#N/A</v>
      </c>
    </row>
    <row r="826" spans="1:82" ht="61.5" x14ac:dyDescent="0.85">
      <c r="A826" s="20">
        <v>1</v>
      </c>
      <c r="B826" s="66">
        <f>SUBTOTAL(103,$A$552:A826)</f>
        <v>265</v>
      </c>
      <c r="C826" s="24" t="s">
        <v>701</v>
      </c>
      <c r="D826" s="31">
        <f>E826+F826+G826+H826+I826+J826+L826+N826+P826+R826+T826+U826+V826+W826+X826+Y826+Z826+AA826+AB826+AC826+AD826+AE826</f>
        <v>402763.69</v>
      </c>
      <c r="E826" s="31">
        <v>0</v>
      </c>
      <c r="F826" s="31">
        <v>0</v>
      </c>
      <c r="G826" s="31">
        <v>0</v>
      </c>
      <c r="H826" s="31">
        <v>0</v>
      </c>
      <c r="I826" s="31">
        <v>357402.65</v>
      </c>
      <c r="J826" s="31">
        <v>0</v>
      </c>
      <c r="K826" s="33">
        <v>0</v>
      </c>
      <c r="L826" s="31">
        <v>0</v>
      </c>
      <c r="M826" s="31">
        <v>0</v>
      </c>
      <c r="N826" s="31">
        <v>0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0</v>
      </c>
      <c r="U826" s="31">
        <v>0</v>
      </c>
      <c r="V826" s="31">
        <v>0</v>
      </c>
      <c r="W826" s="31">
        <v>0</v>
      </c>
      <c r="X826" s="31">
        <v>0</v>
      </c>
      <c r="Y826" s="31">
        <v>0</v>
      </c>
      <c r="Z826" s="31">
        <v>0</v>
      </c>
      <c r="AA826" s="31">
        <v>0</v>
      </c>
      <c r="AB826" s="31">
        <v>0</v>
      </c>
      <c r="AC826" s="31">
        <f>ROUND((E826+F826+G826+H826+I826+J826)*1.5%,2)</f>
        <v>5361.04</v>
      </c>
      <c r="AD826" s="31">
        <v>40000</v>
      </c>
      <c r="AE826" s="31">
        <v>0</v>
      </c>
      <c r="AF826" s="34">
        <v>2021</v>
      </c>
      <c r="AG826" s="34">
        <v>2021</v>
      </c>
      <c r="AH826" s="35">
        <v>2021</v>
      </c>
      <c r="AT826" s="20" t="e">
        <f t="shared" si="161"/>
        <v>#N/A</v>
      </c>
      <c r="BZ826" s="71"/>
      <c r="CD826" s="20" t="e">
        <f t="shared" si="151"/>
        <v>#N/A</v>
      </c>
    </row>
    <row r="827" spans="1:82" ht="61.5" x14ac:dyDescent="0.85">
      <c r="B827" s="24" t="s">
        <v>891</v>
      </c>
      <c r="C827" s="24"/>
      <c r="D827" s="31">
        <f t="shared" ref="D827:AE827" si="167">D828</f>
        <v>3080948</v>
      </c>
      <c r="E827" s="31">
        <f t="shared" si="167"/>
        <v>0</v>
      </c>
      <c r="F827" s="31">
        <f t="shared" si="167"/>
        <v>0</v>
      </c>
      <c r="G827" s="31">
        <f t="shared" si="167"/>
        <v>0</v>
      </c>
      <c r="H827" s="31">
        <f t="shared" si="167"/>
        <v>0</v>
      </c>
      <c r="I827" s="31">
        <f t="shared" si="167"/>
        <v>0</v>
      </c>
      <c r="J827" s="31">
        <f t="shared" si="167"/>
        <v>0</v>
      </c>
      <c r="K827" s="33">
        <f t="shared" si="167"/>
        <v>0</v>
      </c>
      <c r="L827" s="31">
        <f t="shared" si="167"/>
        <v>0</v>
      </c>
      <c r="M827" s="31">
        <f t="shared" si="167"/>
        <v>520</v>
      </c>
      <c r="N827" s="31">
        <f t="shared" si="167"/>
        <v>2887633.5</v>
      </c>
      <c r="O827" s="31">
        <f t="shared" si="167"/>
        <v>0</v>
      </c>
      <c r="P827" s="31">
        <f t="shared" si="167"/>
        <v>0</v>
      </c>
      <c r="Q827" s="31">
        <f t="shared" si="167"/>
        <v>0</v>
      </c>
      <c r="R827" s="31">
        <f t="shared" si="167"/>
        <v>0</v>
      </c>
      <c r="S827" s="31">
        <f t="shared" si="167"/>
        <v>0</v>
      </c>
      <c r="T827" s="31">
        <f t="shared" si="167"/>
        <v>0</v>
      </c>
      <c r="U827" s="31">
        <f t="shared" si="167"/>
        <v>0</v>
      </c>
      <c r="V827" s="31">
        <f t="shared" si="167"/>
        <v>0</v>
      </c>
      <c r="W827" s="31">
        <f t="shared" si="167"/>
        <v>0</v>
      </c>
      <c r="X827" s="31">
        <f t="shared" si="167"/>
        <v>0</v>
      </c>
      <c r="Y827" s="31">
        <f t="shared" si="167"/>
        <v>0</v>
      </c>
      <c r="Z827" s="31">
        <f t="shared" si="167"/>
        <v>0</v>
      </c>
      <c r="AA827" s="31">
        <f t="shared" si="167"/>
        <v>0</v>
      </c>
      <c r="AB827" s="31">
        <f t="shared" si="167"/>
        <v>0</v>
      </c>
      <c r="AC827" s="31">
        <f t="shared" si="167"/>
        <v>43314.5</v>
      </c>
      <c r="AD827" s="31">
        <f t="shared" si="167"/>
        <v>150000</v>
      </c>
      <c r="AE827" s="31">
        <f t="shared" si="167"/>
        <v>0</v>
      </c>
      <c r="AF827" s="72" t="s">
        <v>776</v>
      </c>
      <c r="AG827" s="72" t="s">
        <v>776</v>
      </c>
      <c r="AH827" s="88" t="s">
        <v>776</v>
      </c>
      <c r="AT827" s="20" t="e">
        <f t="shared" si="161"/>
        <v>#N/A</v>
      </c>
      <c r="BZ827" s="71">
        <v>3080948</v>
      </c>
      <c r="CD827" s="20" t="e">
        <f t="shared" si="151"/>
        <v>#N/A</v>
      </c>
    </row>
    <row r="828" spans="1:82" ht="61.5" x14ac:dyDescent="0.85">
      <c r="A828" s="20">
        <v>1</v>
      </c>
      <c r="B828" s="66">
        <f>SUBTOTAL(103,$A$552:A828)</f>
        <v>266</v>
      </c>
      <c r="C828" s="24" t="s">
        <v>695</v>
      </c>
      <c r="D828" s="31">
        <f>E828+F828+G828+H828+I828+J828+L828+N828+P828+R828+T828+U828+V828+W828+X828+Y828+Z828+AA828+AB828+AC828+AD828+AE828</f>
        <v>3080948</v>
      </c>
      <c r="E828" s="31">
        <v>0</v>
      </c>
      <c r="F828" s="31">
        <v>0</v>
      </c>
      <c r="G828" s="31">
        <v>0</v>
      </c>
      <c r="H828" s="31">
        <v>0</v>
      </c>
      <c r="I828" s="31">
        <v>0</v>
      </c>
      <c r="J828" s="31">
        <v>0</v>
      </c>
      <c r="K828" s="33">
        <v>0</v>
      </c>
      <c r="L828" s="31">
        <v>0</v>
      </c>
      <c r="M828" s="31">
        <v>520</v>
      </c>
      <c r="N828" s="31">
        <v>2887633.5</v>
      </c>
      <c r="O828" s="31">
        <v>0</v>
      </c>
      <c r="P828" s="31">
        <v>0</v>
      </c>
      <c r="Q828" s="31">
        <v>0</v>
      </c>
      <c r="R828" s="31">
        <v>0</v>
      </c>
      <c r="S828" s="31">
        <v>0</v>
      </c>
      <c r="T828" s="31">
        <v>0</v>
      </c>
      <c r="U828" s="31">
        <v>0</v>
      </c>
      <c r="V828" s="31">
        <v>0</v>
      </c>
      <c r="W828" s="31">
        <v>0</v>
      </c>
      <c r="X828" s="31">
        <v>0</v>
      </c>
      <c r="Y828" s="31">
        <v>0</v>
      </c>
      <c r="Z828" s="31">
        <v>0</v>
      </c>
      <c r="AA828" s="31">
        <v>0</v>
      </c>
      <c r="AB828" s="31">
        <v>0</v>
      </c>
      <c r="AC828" s="31">
        <f>ROUND(N828*1.5%,2)</f>
        <v>43314.5</v>
      </c>
      <c r="AD828" s="31">
        <v>150000</v>
      </c>
      <c r="AE828" s="31">
        <v>0</v>
      </c>
      <c r="AF828" s="34">
        <v>2021</v>
      </c>
      <c r="AG828" s="34">
        <v>2021</v>
      </c>
      <c r="AH828" s="35">
        <v>2021</v>
      </c>
      <c r="AT828" s="20" t="e">
        <f t="shared" si="161"/>
        <v>#N/A</v>
      </c>
      <c r="BZ828" s="71"/>
      <c r="CD828" s="20" t="e">
        <f t="shared" si="151"/>
        <v>#N/A</v>
      </c>
    </row>
    <row r="829" spans="1:82" ht="61.5" x14ac:dyDescent="0.85">
      <c r="B829" s="24" t="s">
        <v>847</v>
      </c>
      <c r="C829" s="24"/>
      <c r="D829" s="31">
        <f>D830</f>
        <v>2000000</v>
      </c>
      <c r="E829" s="31">
        <f t="shared" ref="E829:AE829" si="168">E830</f>
        <v>0</v>
      </c>
      <c r="F829" s="31">
        <f t="shared" si="168"/>
        <v>0</v>
      </c>
      <c r="G829" s="31">
        <f t="shared" si="168"/>
        <v>0</v>
      </c>
      <c r="H829" s="31">
        <f t="shared" si="168"/>
        <v>0</v>
      </c>
      <c r="I829" s="31">
        <f t="shared" si="168"/>
        <v>0</v>
      </c>
      <c r="J829" s="31">
        <f t="shared" si="168"/>
        <v>0</v>
      </c>
      <c r="K829" s="33">
        <f t="shared" si="168"/>
        <v>0</v>
      </c>
      <c r="L829" s="31">
        <f t="shared" si="168"/>
        <v>0</v>
      </c>
      <c r="M829" s="31">
        <f t="shared" si="168"/>
        <v>700.14</v>
      </c>
      <c r="N829" s="31">
        <f t="shared" si="168"/>
        <v>1842364.53</v>
      </c>
      <c r="O829" s="31">
        <f t="shared" si="168"/>
        <v>0</v>
      </c>
      <c r="P829" s="31">
        <f t="shared" si="168"/>
        <v>0</v>
      </c>
      <c r="Q829" s="31">
        <f t="shared" si="168"/>
        <v>0</v>
      </c>
      <c r="R829" s="31">
        <f t="shared" si="168"/>
        <v>0</v>
      </c>
      <c r="S829" s="31">
        <f t="shared" si="168"/>
        <v>0</v>
      </c>
      <c r="T829" s="31">
        <f t="shared" si="168"/>
        <v>0</v>
      </c>
      <c r="U829" s="31">
        <f t="shared" si="168"/>
        <v>0</v>
      </c>
      <c r="V829" s="31">
        <f t="shared" si="168"/>
        <v>0</v>
      </c>
      <c r="W829" s="31">
        <f t="shared" si="168"/>
        <v>0</v>
      </c>
      <c r="X829" s="31">
        <f t="shared" si="168"/>
        <v>0</v>
      </c>
      <c r="Y829" s="31">
        <f t="shared" si="168"/>
        <v>0</v>
      </c>
      <c r="Z829" s="31">
        <f t="shared" si="168"/>
        <v>0</v>
      </c>
      <c r="AA829" s="31">
        <f t="shared" si="168"/>
        <v>0</v>
      </c>
      <c r="AB829" s="31">
        <f t="shared" si="168"/>
        <v>0</v>
      </c>
      <c r="AC829" s="31">
        <f t="shared" si="168"/>
        <v>27635.47</v>
      </c>
      <c r="AD829" s="31">
        <f t="shared" si="168"/>
        <v>130000</v>
      </c>
      <c r="AE829" s="31">
        <f t="shared" si="168"/>
        <v>0</v>
      </c>
      <c r="AF829" s="72" t="s">
        <v>776</v>
      </c>
      <c r="AG829" s="72" t="s">
        <v>776</v>
      </c>
      <c r="AH829" s="88" t="s">
        <v>776</v>
      </c>
      <c r="AT829" s="20" t="e">
        <f t="shared" si="161"/>
        <v>#N/A</v>
      </c>
      <c r="BZ829" s="71">
        <v>2000000</v>
      </c>
      <c r="CD829" s="20" t="e">
        <f t="shared" si="151"/>
        <v>#N/A</v>
      </c>
    </row>
    <row r="830" spans="1:82" ht="61.5" x14ac:dyDescent="0.85">
      <c r="A830" s="20">
        <v>1</v>
      </c>
      <c r="B830" s="66">
        <f>SUBTOTAL(103,$A$552:A830)</f>
        <v>267</v>
      </c>
      <c r="C830" s="177" t="s">
        <v>702</v>
      </c>
      <c r="D830" s="31">
        <f>E830+F830+G830+H830+I830+J830+L830+N830+P830+R830+T830+U830+V830+W830+X830+Y830+Z830+AA830+AB830+AC830+AD830+AE830</f>
        <v>2000000</v>
      </c>
      <c r="E830" s="31">
        <v>0</v>
      </c>
      <c r="F830" s="31">
        <v>0</v>
      </c>
      <c r="G830" s="31">
        <v>0</v>
      </c>
      <c r="H830" s="31">
        <v>0</v>
      </c>
      <c r="I830" s="31">
        <v>0</v>
      </c>
      <c r="J830" s="31">
        <v>0</v>
      </c>
      <c r="K830" s="33">
        <v>0</v>
      </c>
      <c r="L830" s="31">
        <v>0</v>
      </c>
      <c r="M830" s="31">
        <v>700.14</v>
      </c>
      <c r="N830" s="31">
        <v>1842364.53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31">
        <v>0</v>
      </c>
      <c r="W830" s="31">
        <v>0</v>
      </c>
      <c r="X830" s="31">
        <v>0</v>
      </c>
      <c r="Y830" s="31">
        <v>0</v>
      </c>
      <c r="Z830" s="31">
        <v>0</v>
      </c>
      <c r="AA830" s="31">
        <v>0</v>
      </c>
      <c r="AB830" s="31">
        <v>0</v>
      </c>
      <c r="AC830" s="31">
        <f>ROUND(N830*1.5%,2)</f>
        <v>27635.47</v>
      </c>
      <c r="AD830" s="31">
        <v>130000</v>
      </c>
      <c r="AE830" s="31">
        <v>0</v>
      </c>
      <c r="AF830" s="34">
        <v>2021</v>
      </c>
      <c r="AG830" s="34">
        <v>2021</v>
      </c>
      <c r="AH830" s="35">
        <v>2021</v>
      </c>
      <c r="AT830" s="20" t="e">
        <f t="shared" si="161"/>
        <v>#N/A</v>
      </c>
      <c r="BZ830" s="71"/>
      <c r="CD830" s="20" t="e">
        <f t="shared" si="151"/>
        <v>#N/A</v>
      </c>
    </row>
    <row r="831" spans="1:82" ht="61.5" x14ac:dyDescent="0.85">
      <c r="B831" s="24" t="s">
        <v>848</v>
      </c>
      <c r="C831" s="24"/>
      <c r="D831" s="31">
        <f t="shared" ref="D831:AE831" si="169">SUM(D832:D837)</f>
        <v>23342012.82</v>
      </c>
      <c r="E831" s="31">
        <f t="shared" si="169"/>
        <v>0</v>
      </c>
      <c r="F831" s="31">
        <f t="shared" si="169"/>
        <v>0</v>
      </c>
      <c r="G831" s="31">
        <f t="shared" si="169"/>
        <v>0</v>
      </c>
      <c r="H831" s="31">
        <f t="shared" si="169"/>
        <v>0</v>
      </c>
      <c r="I831" s="31">
        <f t="shared" si="169"/>
        <v>0</v>
      </c>
      <c r="J831" s="31">
        <f t="shared" si="169"/>
        <v>0</v>
      </c>
      <c r="K831" s="33">
        <f t="shared" si="169"/>
        <v>0</v>
      </c>
      <c r="L831" s="31">
        <f t="shared" si="169"/>
        <v>0</v>
      </c>
      <c r="M831" s="31">
        <f t="shared" si="169"/>
        <v>4052.5</v>
      </c>
      <c r="N831" s="31">
        <f t="shared" si="169"/>
        <v>19724484.109999999</v>
      </c>
      <c r="O831" s="31">
        <f t="shared" si="169"/>
        <v>0</v>
      </c>
      <c r="P831" s="31">
        <f t="shared" si="169"/>
        <v>0</v>
      </c>
      <c r="Q831" s="31">
        <f t="shared" si="169"/>
        <v>2768.5</v>
      </c>
      <c r="R831" s="31">
        <f t="shared" si="169"/>
        <v>2307055.62</v>
      </c>
      <c r="S831" s="31">
        <f t="shared" si="169"/>
        <v>0</v>
      </c>
      <c r="T831" s="31">
        <f t="shared" si="169"/>
        <v>0</v>
      </c>
      <c r="U831" s="31">
        <f t="shared" si="169"/>
        <v>0</v>
      </c>
      <c r="V831" s="31">
        <f t="shared" si="169"/>
        <v>0</v>
      </c>
      <c r="W831" s="31">
        <f t="shared" si="169"/>
        <v>0</v>
      </c>
      <c r="X831" s="31">
        <f t="shared" si="169"/>
        <v>0</v>
      </c>
      <c r="Y831" s="31">
        <f t="shared" si="169"/>
        <v>0</v>
      </c>
      <c r="Z831" s="31">
        <f t="shared" si="169"/>
        <v>0</v>
      </c>
      <c r="AA831" s="31">
        <f t="shared" si="169"/>
        <v>0</v>
      </c>
      <c r="AB831" s="31">
        <f t="shared" si="169"/>
        <v>0</v>
      </c>
      <c r="AC831" s="31">
        <f t="shared" si="169"/>
        <v>330473.09000000003</v>
      </c>
      <c r="AD831" s="31">
        <f t="shared" si="169"/>
        <v>980000</v>
      </c>
      <c r="AE831" s="31">
        <f t="shared" si="169"/>
        <v>0</v>
      </c>
      <c r="AF831" s="72" t="s">
        <v>776</v>
      </c>
      <c r="AG831" s="72" t="s">
        <v>776</v>
      </c>
      <c r="AH831" s="88" t="s">
        <v>776</v>
      </c>
      <c r="AT831" s="20" t="e">
        <f t="shared" si="161"/>
        <v>#N/A</v>
      </c>
      <c r="BZ831" s="71">
        <v>23342012.82</v>
      </c>
      <c r="CD831" s="20" t="e">
        <f t="shared" ref="CD831:CD894" si="170">VLOOKUP(C831,CE:CF,2,FALSE)</f>
        <v>#N/A</v>
      </c>
    </row>
    <row r="832" spans="1:82" ht="61.5" x14ac:dyDescent="0.85">
      <c r="A832" s="20">
        <v>1</v>
      </c>
      <c r="B832" s="66">
        <f>SUBTOTAL(103,$A$552:A832)</f>
        <v>268</v>
      </c>
      <c r="C832" s="24" t="s">
        <v>692</v>
      </c>
      <c r="D832" s="31">
        <f t="shared" ref="D832:D837" si="171">E832+F832+G832+H832+I832+J832+L832+N832+P832+R832+T832+U832+V832+W832+X832+Y832+Z832+AA832+AB832+AC832+AD832+AE832</f>
        <v>2541661.4500000002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3">
        <v>0</v>
      </c>
      <c r="L832" s="31">
        <v>0</v>
      </c>
      <c r="M832" s="31">
        <v>0</v>
      </c>
      <c r="N832" s="31">
        <v>0</v>
      </c>
      <c r="O832" s="31">
        <v>0</v>
      </c>
      <c r="P832" s="31">
        <v>0</v>
      </c>
      <c r="Q832" s="31">
        <v>2768.5</v>
      </c>
      <c r="R832" s="31">
        <v>2307055.62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1">
        <v>0</v>
      </c>
      <c r="Y832" s="31">
        <v>0</v>
      </c>
      <c r="Z832" s="31">
        <v>0</v>
      </c>
      <c r="AA832" s="31">
        <v>0</v>
      </c>
      <c r="AB832" s="31">
        <v>0</v>
      </c>
      <c r="AC832" s="31">
        <f>ROUND(R832*1.5%,2)</f>
        <v>34605.83</v>
      </c>
      <c r="AD832" s="31">
        <v>200000</v>
      </c>
      <c r="AE832" s="31">
        <v>0</v>
      </c>
      <c r="AF832" s="34">
        <v>2021</v>
      </c>
      <c r="AG832" s="34">
        <v>2021</v>
      </c>
      <c r="AH832" s="35">
        <v>2021</v>
      </c>
      <c r="AT832" s="20">
        <f t="shared" si="161"/>
        <v>1</v>
      </c>
      <c r="BZ832" s="71"/>
      <c r="CD832" s="20" t="e">
        <f t="shared" si="170"/>
        <v>#N/A</v>
      </c>
    </row>
    <row r="833" spans="1:82" ht="61.5" x14ac:dyDescent="0.85">
      <c r="A833" s="20">
        <v>1</v>
      </c>
      <c r="B833" s="66">
        <f>SUBTOTAL(103,$A$552:A833)</f>
        <v>269</v>
      </c>
      <c r="C833" s="24" t="s">
        <v>680</v>
      </c>
      <c r="D833" s="31">
        <f t="shared" si="171"/>
        <v>5370787.6200000001</v>
      </c>
      <c r="E833" s="31">
        <v>0</v>
      </c>
      <c r="F833" s="31">
        <v>0</v>
      </c>
      <c r="G833" s="31">
        <v>0</v>
      </c>
      <c r="H833" s="31">
        <v>0</v>
      </c>
      <c r="I833" s="31">
        <v>0</v>
      </c>
      <c r="J833" s="31">
        <v>0</v>
      </c>
      <c r="K833" s="33">
        <v>0</v>
      </c>
      <c r="L833" s="31">
        <v>0</v>
      </c>
      <c r="M833" s="31">
        <v>1107</v>
      </c>
      <c r="N833" s="31">
        <v>5114076.47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0</v>
      </c>
      <c r="U833" s="31">
        <v>0</v>
      </c>
      <c r="V833" s="31">
        <v>0</v>
      </c>
      <c r="W833" s="31">
        <v>0</v>
      </c>
      <c r="X833" s="31">
        <v>0</v>
      </c>
      <c r="Y833" s="31">
        <v>0</v>
      </c>
      <c r="Z833" s="31">
        <v>0</v>
      </c>
      <c r="AA833" s="31">
        <v>0</v>
      </c>
      <c r="AB833" s="31">
        <v>0</v>
      </c>
      <c r="AC833" s="31">
        <f>ROUND(N833*1.5%,2)</f>
        <v>76711.149999999994</v>
      </c>
      <c r="AD833" s="31">
        <v>180000</v>
      </c>
      <c r="AE833" s="31">
        <v>0</v>
      </c>
      <c r="AF833" s="34">
        <v>2021</v>
      </c>
      <c r="AG833" s="34">
        <v>2021</v>
      </c>
      <c r="AH833" s="35">
        <v>2021</v>
      </c>
      <c r="AT833" s="20" t="e">
        <f t="shared" si="161"/>
        <v>#N/A</v>
      </c>
      <c r="BZ833" s="71"/>
      <c r="CD833" s="20" t="e">
        <f t="shared" si="170"/>
        <v>#N/A</v>
      </c>
    </row>
    <row r="834" spans="1:82" ht="61.5" x14ac:dyDescent="0.85">
      <c r="A834" s="20">
        <v>1</v>
      </c>
      <c r="B834" s="66">
        <f>SUBTOTAL(103,$A$552:A834)</f>
        <v>270</v>
      </c>
      <c r="C834" s="24" t="s">
        <v>708</v>
      </c>
      <c r="D834" s="31">
        <f t="shared" si="171"/>
        <v>4073004</v>
      </c>
      <c r="E834" s="31">
        <v>0</v>
      </c>
      <c r="F834" s="31">
        <v>0</v>
      </c>
      <c r="G834" s="31">
        <v>0</v>
      </c>
      <c r="H834" s="31">
        <v>0</v>
      </c>
      <c r="I834" s="31">
        <v>0</v>
      </c>
      <c r="J834" s="31">
        <v>0</v>
      </c>
      <c r="K834" s="33">
        <v>0</v>
      </c>
      <c r="L834" s="31">
        <v>0</v>
      </c>
      <c r="M834" s="31">
        <v>780</v>
      </c>
      <c r="N834" s="31">
        <v>3865028.57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0</v>
      </c>
      <c r="U834" s="31">
        <v>0</v>
      </c>
      <c r="V834" s="31">
        <v>0</v>
      </c>
      <c r="W834" s="31">
        <v>0</v>
      </c>
      <c r="X834" s="31">
        <v>0</v>
      </c>
      <c r="Y834" s="31">
        <v>0</v>
      </c>
      <c r="Z834" s="31">
        <v>0</v>
      </c>
      <c r="AA834" s="31">
        <v>0</v>
      </c>
      <c r="AB834" s="31">
        <v>0</v>
      </c>
      <c r="AC834" s="31">
        <f>ROUND(N834*1.5%,2)</f>
        <v>57975.43</v>
      </c>
      <c r="AD834" s="31">
        <v>150000</v>
      </c>
      <c r="AE834" s="31">
        <v>0</v>
      </c>
      <c r="AF834" s="34">
        <v>2021</v>
      </c>
      <c r="AG834" s="34">
        <v>2021</v>
      </c>
      <c r="AH834" s="35">
        <v>2021</v>
      </c>
      <c r="AT834" s="20" t="e">
        <f t="shared" si="161"/>
        <v>#N/A</v>
      </c>
      <c r="BZ834" s="71"/>
      <c r="CD834" s="20" t="e">
        <f t="shared" si="170"/>
        <v>#N/A</v>
      </c>
    </row>
    <row r="835" spans="1:82" ht="61.5" x14ac:dyDescent="0.85">
      <c r="A835" s="20">
        <v>1</v>
      </c>
      <c r="B835" s="66">
        <f>SUBTOTAL(103,$A$552:A835)</f>
        <v>271</v>
      </c>
      <c r="C835" s="24" t="s">
        <v>685</v>
      </c>
      <c r="D835" s="31">
        <f t="shared" si="171"/>
        <v>3707478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3">
        <v>0</v>
      </c>
      <c r="L835" s="31">
        <v>0</v>
      </c>
      <c r="M835" s="31">
        <v>710</v>
      </c>
      <c r="N835" s="31">
        <v>3504904.43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0</v>
      </c>
      <c r="U835" s="31">
        <v>0</v>
      </c>
      <c r="V835" s="31">
        <v>0</v>
      </c>
      <c r="W835" s="31">
        <v>0</v>
      </c>
      <c r="X835" s="31">
        <v>0</v>
      </c>
      <c r="Y835" s="31">
        <v>0</v>
      </c>
      <c r="Z835" s="31">
        <v>0</v>
      </c>
      <c r="AA835" s="31">
        <v>0</v>
      </c>
      <c r="AB835" s="31">
        <v>0</v>
      </c>
      <c r="AC835" s="31">
        <f>ROUND(N835*1.5%,2)</f>
        <v>52573.57</v>
      </c>
      <c r="AD835" s="31">
        <v>150000</v>
      </c>
      <c r="AE835" s="31">
        <v>0</v>
      </c>
      <c r="AF835" s="34">
        <v>2021</v>
      </c>
      <c r="AG835" s="34">
        <v>2021</v>
      </c>
      <c r="AH835" s="35">
        <v>2021</v>
      </c>
      <c r="AT835" s="20" t="e">
        <f t="shared" si="161"/>
        <v>#N/A</v>
      </c>
      <c r="BZ835" s="71"/>
      <c r="CD835" s="20" t="e">
        <f t="shared" si="170"/>
        <v>#N/A</v>
      </c>
    </row>
    <row r="836" spans="1:82" ht="61.5" x14ac:dyDescent="0.85">
      <c r="A836" s="20">
        <v>1</v>
      </c>
      <c r="B836" s="66">
        <f>SUBTOTAL(103,$A$552:A836)</f>
        <v>272</v>
      </c>
      <c r="C836" s="24" t="s">
        <v>690</v>
      </c>
      <c r="D836" s="31">
        <f t="shared" si="171"/>
        <v>3916350</v>
      </c>
      <c r="E836" s="31">
        <v>0</v>
      </c>
      <c r="F836" s="31">
        <v>0</v>
      </c>
      <c r="G836" s="31">
        <v>0</v>
      </c>
      <c r="H836" s="31">
        <v>0</v>
      </c>
      <c r="I836" s="31">
        <v>0</v>
      </c>
      <c r="J836" s="31">
        <v>0</v>
      </c>
      <c r="K836" s="33">
        <v>0</v>
      </c>
      <c r="L836" s="31">
        <v>0</v>
      </c>
      <c r="M836" s="31">
        <v>750</v>
      </c>
      <c r="N836" s="31">
        <v>3710689.66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31">
        <v>0</v>
      </c>
      <c r="W836" s="31">
        <v>0</v>
      </c>
      <c r="X836" s="31">
        <v>0</v>
      </c>
      <c r="Y836" s="31">
        <v>0</v>
      </c>
      <c r="Z836" s="31">
        <v>0</v>
      </c>
      <c r="AA836" s="31">
        <v>0</v>
      </c>
      <c r="AB836" s="31">
        <v>0</v>
      </c>
      <c r="AC836" s="31">
        <f>ROUND(N836*1.5%,2)</f>
        <v>55660.34</v>
      </c>
      <c r="AD836" s="31">
        <v>150000</v>
      </c>
      <c r="AE836" s="31">
        <v>0</v>
      </c>
      <c r="AF836" s="34">
        <v>2021</v>
      </c>
      <c r="AG836" s="34">
        <v>2021</v>
      </c>
      <c r="AH836" s="35">
        <v>2021</v>
      </c>
      <c r="AT836" s="20" t="e">
        <f t="shared" si="161"/>
        <v>#N/A</v>
      </c>
      <c r="BZ836" s="71"/>
      <c r="CD836" s="20" t="e">
        <f t="shared" si="170"/>
        <v>#N/A</v>
      </c>
    </row>
    <row r="837" spans="1:82" ht="61.5" x14ac:dyDescent="0.85">
      <c r="A837" s="20">
        <v>1</v>
      </c>
      <c r="B837" s="66">
        <f>SUBTOTAL(103,$A$552:A837)</f>
        <v>273</v>
      </c>
      <c r="C837" s="24" t="s">
        <v>689</v>
      </c>
      <c r="D837" s="31">
        <f t="shared" si="171"/>
        <v>3732731.75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3">
        <v>0</v>
      </c>
      <c r="L837" s="31">
        <v>0</v>
      </c>
      <c r="M837" s="31">
        <v>705.5</v>
      </c>
      <c r="N837" s="31">
        <v>3529784.98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1">
        <v>0</v>
      </c>
      <c r="Y837" s="31">
        <v>0</v>
      </c>
      <c r="Z837" s="31">
        <v>0</v>
      </c>
      <c r="AA837" s="31">
        <v>0</v>
      </c>
      <c r="AB837" s="31">
        <v>0</v>
      </c>
      <c r="AC837" s="31">
        <f>ROUND(N837*1.5%,2)</f>
        <v>52946.77</v>
      </c>
      <c r="AD837" s="31">
        <v>150000</v>
      </c>
      <c r="AE837" s="31">
        <v>0</v>
      </c>
      <c r="AF837" s="34">
        <v>2021</v>
      </c>
      <c r="AG837" s="34">
        <v>2021</v>
      </c>
      <c r="AH837" s="35">
        <v>2021</v>
      </c>
      <c r="AT837" s="20" t="e">
        <f t="shared" si="161"/>
        <v>#N/A</v>
      </c>
      <c r="BZ837" s="71"/>
      <c r="CD837" s="20" t="e">
        <f t="shared" si="170"/>
        <v>#N/A</v>
      </c>
    </row>
    <row r="838" spans="1:82" ht="61.5" x14ac:dyDescent="0.85">
      <c r="B838" s="24" t="s">
        <v>849</v>
      </c>
      <c r="C838" s="129"/>
      <c r="D838" s="31">
        <f t="shared" ref="D838:AE838" si="172">SUM(D839:D843)</f>
        <v>17079093.490000002</v>
      </c>
      <c r="E838" s="31">
        <f t="shared" si="172"/>
        <v>0</v>
      </c>
      <c r="F838" s="31">
        <f t="shared" si="172"/>
        <v>0</v>
      </c>
      <c r="G838" s="31">
        <f t="shared" si="172"/>
        <v>0</v>
      </c>
      <c r="H838" s="31">
        <f t="shared" si="172"/>
        <v>0</v>
      </c>
      <c r="I838" s="31">
        <f t="shared" si="172"/>
        <v>0</v>
      </c>
      <c r="J838" s="31">
        <f t="shared" si="172"/>
        <v>0</v>
      </c>
      <c r="K838" s="33">
        <f t="shared" si="172"/>
        <v>0</v>
      </c>
      <c r="L838" s="31">
        <f t="shared" si="172"/>
        <v>0</v>
      </c>
      <c r="M838" s="31">
        <f t="shared" si="172"/>
        <v>2454</v>
      </c>
      <c r="N838" s="31">
        <f t="shared" si="172"/>
        <v>11035239.33</v>
      </c>
      <c r="O838" s="31">
        <f t="shared" si="172"/>
        <v>0</v>
      </c>
      <c r="P838" s="31">
        <f t="shared" si="172"/>
        <v>0</v>
      </c>
      <c r="Q838" s="31">
        <f t="shared" si="172"/>
        <v>0</v>
      </c>
      <c r="R838" s="31">
        <f t="shared" si="172"/>
        <v>0</v>
      </c>
      <c r="S838" s="31">
        <f t="shared" si="172"/>
        <v>114</v>
      </c>
      <c r="T838" s="31">
        <f t="shared" si="172"/>
        <v>966674.55</v>
      </c>
      <c r="U838" s="31">
        <f t="shared" si="172"/>
        <v>4066158.53</v>
      </c>
      <c r="V838" s="31">
        <f t="shared" si="172"/>
        <v>0</v>
      </c>
      <c r="W838" s="31">
        <f t="shared" si="172"/>
        <v>0</v>
      </c>
      <c r="X838" s="31">
        <f t="shared" si="172"/>
        <v>0</v>
      </c>
      <c r="Y838" s="31">
        <f t="shared" si="172"/>
        <v>0</v>
      </c>
      <c r="Z838" s="31">
        <f t="shared" si="172"/>
        <v>0</v>
      </c>
      <c r="AA838" s="31">
        <f t="shared" si="172"/>
        <v>0</v>
      </c>
      <c r="AB838" s="31">
        <f t="shared" si="172"/>
        <v>0</v>
      </c>
      <c r="AC838" s="31">
        <f t="shared" si="172"/>
        <v>241021.08</v>
      </c>
      <c r="AD838" s="31">
        <f t="shared" si="172"/>
        <v>650000</v>
      </c>
      <c r="AE838" s="31">
        <f t="shared" si="172"/>
        <v>120000</v>
      </c>
      <c r="AF838" s="72" t="s">
        <v>776</v>
      </c>
      <c r="AG838" s="72" t="s">
        <v>776</v>
      </c>
      <c r="AH838" s="88" t="s">
        <v>776</v>
      </c>
      <c r="AT838" s="20" t="e">
        <f t="shared" si="161"/>
        <v>#N/A</v>
      </c>
      <c r="BZ838" s="71">
        <v>11973050.91</v>
      </c>
      <c r="CB838" s="71">
        <f>BZ838-D838</f>
        <v>-5106042.5800000019</v>
      </c>
      <c r="CD838" s="20" t="e">
        <f t="shared" si="170"/>
        <v>#N/A</v>
      </c>
    </row>
    <row r="839" spans="1:82" ht="61.5" x14ac:dyDescent="0.85">
      <c r="A839" s="20">
        <v>1</v>
      </c>
      <c r="B839" s="66">
        <f>SUBTOTAL(103,$A$552:A839)</f>
        <v>274</v>
      </c>
      <c r="C839" s="24" t="s">
        <v>240</v>
      </c>
      <c r="D839" s="31">
        <f t="shared" ref="D839:D845" si="173">E839+F839+G839+H839+I839+J839+L839+N839+P839+R839+T839+U839+V839+W839+X839+Y839+Z839+AA839+AB839+AC839+AD839+AE839</f>
        <v>7695900</v>
      </c>
      <c r="E839" s="31">
        <v>0</v>
      </c>
      <c r="F839" s="31">
        <v>0</v>
      </c>
      <c r="G839" s="31">
        <v>0</v>
      </c>
      <c r="H839" s="31">
        <v>0</v>
      </c>
      <c r="I839" s="31">
        <v>0</v>
      </c>
      <c r="J839" s="31">
        <v>0</v>
      </c>
      <c r="K839" s="33">
        <v>0</v>
      </c>
      <c r="L839" s="31">
        <v>0</v>
      </c>
      <c r="M839" s="31">
        <v>1509</v>
      </c>
      <c r="N839" s="31">
        <v>7404827.5899999999</v>
      </c>
      <c r="O839" s="31">
        <v>0</v>
      </c>
      <c r="P839" s="31">
        <v>0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1">
        <v>0</v>
      </c>
      <c r="Y839" s="31">
        <v>0</v>
      </c>
      <c r="Z839" s="31">
        <v>0</v>
      </c>
      <c r="AA839" s="31">
        <v>0</v>
      </c>
      <c r="AB839" s="31">
        <v>0</v>
      </c>
      <c r="AC839" s="31">
        <f>ROUND(N839*1.5%,2)</f>
        <v>111072.41</v>
      </c>
      <c r="AD839" s="31">
        <v>180000</v>
      </c>
      <c r="AE839" s="31">
        <v>0</v>
      </c>
      <c r="AF839" s="34">
        <v>2021</v>
      </c>
      <c r="AG839" s="34">
        <v>2021</v>
      </c>
      <c r="AH839" s="35">
        <v>2021</v>
      </c>
      <c r="AT839" s="20">
        <f t="shared" si="161"/>
        <v>1</v>
      </c>
      <c r="BZ839" s="71"/>
      <c r="CD839" s="20" t="e">
        <f t="shared" si="170"/>
        <v>#N/A</v>
      </c>
    </row>
    <row r="840" spans="1:82" ht="61.5" x14ac:dyDescent="0.85">
      <c r="A840" s="20">
        <v>1</v>
      </c>
      <c r="B840" s="66">
        <f>SUBTOTAL(103,$A$552:A840)</f>
        <v>275</v>
      </c>
      <c r="C840" s="24" t="s">
        <v>245</v>
      </c>
      <c r="D840" s="31">
        <f t="shared" si="173"/>
        <v>4277150.91</v>
      </c>
      <c r="E840" s="31">
        <v>0</v>
      </c>
      <c r="F840" s="31">
        <v>0</v>
      </c>
      <c r="G840" s="31">
        <v>0</v>
      </c>
      <c r="H840" s="31">
        <v>0</v>
      </c>
      <c r="I840" s="31">
        <v>0</v>
      </c>
      <c r="J840" s="31">
        <v>0</v>
      </c>
      <c r="K840" s="33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4066158.53</v>
      </c>
      <c r="V840" s="31">
        <v>0</v>
      </c>
      <c r="W840" s="31">
        <v>0</v>
      </c>
      <c r="X840" s="31">
        <v>0</v>
      </c>
      <c r="Y840" s="31">
        <v>0</v>
      </c>
      <c r="Z840" s="31">
        <v>0</v>
      </c>
      <c r="AA840" s="31">
        <v>0</v>
      </c>
      <c r="AB840" s="31">
        <v>0</v>
      </c>
      <c r="AC840" s="31">
        <f>ROUND(U840*1.5%,2)</f>
        <v>60992.38</v>
      </c>
      <c r="AD840" s="31">
        <v>150000</v>
      </c>
      <c r="AE840" s="31">
        <v>0</v>
      </c>
      <c r="AF840" s="34">
        <v>2021</v>
      </c>
      <c r="AG840" s="34">
        <v>2021</v>
      </c>
      <c r="AH840" s="35">
        <v>2021</v>
      </c>
      <c r="AT840" s="20" t="e">
        <f t="shared" si="161"/>
        <v>#N/A</v>
      </c>
      <c r="BZ840" s="71"/>
      <c r="CD840" s="20" t="e">
        <f t="shared" si="170"/>
        <v>#N/A</v>
      </c>
    </row>
    <row r="841" spans="1:82" ht="61.5" x14ac:dyDescent="0.85">
      <c r="A841" s="20">
        <v>1</v>
      </c>
      <c r="B841" s="66">
        <f>SUBTOTAL(103,$A$552:A841)</f>
        <v>276</v>
      </c>
      <c r="C841" s="24" t="s">
        <v>1654</v>
      </c>
      <c r="D841" s="31">
        <f t="shared" si="173"/>
        <v>1462104</v>
      </c>
      <c r="E841" s="31">
        <v>0</v>
      </c>
      <c r="F841" s="31">
        <v>0</v>
      </c>
      <c r="G841" s="31">
        <v>0</v>
      </c>
      <c r="H841" s="31">
        <v>0</v>
      </c>
      <c r="I841" s="31">
        <v>0</v>
      </c>
      <c r="J841" s="31">
        <v>0</v>
      </c>
      <c r="K841" s="33">
        <v>0</v>
      </c>
      <c r="L841" s="31">
        <v>0</v>
      </c>
      <c r="M841" s="31">
        <v>280</v>
      </c>
      <c r="N841" s="31">
        <v>1361678.82</v>
      </c>
      <c r="O841" s="31">
        <v>0</v>
      </c>
      <c r="P841" s="31">
        <v>0</v>
      </c>
      <c r="Q841" s="31">
        <v>0</v>
      </c>
      <c r="R841" s="31">
        <v>0</v>
      </c>
      <c r="S841" s="31">
        <v>0</v>
      </c>
      <c r="T841" s="31">
        <v>0</v>
      </c>
      <c r="U841" s="31">
        <v>0</v>
      </c>
      <c r="V841" s="31">
        <v>0</v>
      </c>
      <c r="W841" s="31">
        <v>0</v>
      </c>
      <c r="X841" s="31">
        <v>0</v>
      </c>
      <c r="Y841" s="31">
        <v>0</v>
      </c>
      <c r="Z841" s="31">
        <v>0</v>
      </c>
      <c r="AA841" s="31">
        <v>0</v>
      </c>
      <c r="AB841" s="31">
        <v>0</v>
      </c>
      <c r="AC841" s="31">
        <f>ROUND(N841*1.5%,2)</f>
        <v>20425.18</v>
      </c>
      <c r="AD841" s="31">
        <v>80000</v>
      </c>
      <c r="AE841" s="31">
        <v>0</v>
      </c>
      <c r="AF841" s="34">
        <v>2021</v>
      </c>
      <c r="AG841" s="34">
        <v>2021</v>
      </c>
      <c r="AH841" s="35">
        <v>2021</v>
      </c>
      <c r="BZ841" s="71"/>
      <c r="CD841" s="20" t="e">
        <f t="shared" si="170"/>
        <v>#N/A</v>
      </c>
    </row>
    <row r="842" spans="1:82" ht="61.5" x14ac:dyDescent="0.85">
      <c r="A842" s="20">
        <v>1</v>
      </c>
      <c r="B842" s="66">
        <f>SUBTOTAL(103,$A$552:A842)</f>
        <v>277</v>
      </c>
      <c r="C842" s="24" t="s">
        <v>1655</v>
      </c>
      <c r="D842" s="31">
        <f t="shared" ref="D842:D843" si="174">E842+F842+G842+H842+I842+J842+L842+N842+P842+R842+T842+U842+V842+W842+X842+Y842+Z842+AA842+AB842+AC842+AD842+AE842</f>
        <v>1221174.67</v>
      </c>
      <c r="E842" s="31">
        <v>0</v>
      </c>
      <c r="F842" s="31">
        <v>0</v>
      </c>
      <c r="G842" s="31">
        <v>0</v>
      </c>
      <c r="H842" s="31">
        <v>0</v>
      </c>
      <c r="I842" s="31">
        <v>0</v>
      </c>
      <c r="J842" s="31">
        <v>0</v>
      </c>
      <c r="K842" s="33">
        <v>0</v>
      </c>
      <c r="L842" s="31">
        <v>0</v>
      </c>
      <c r="M842" s="31">
        <v>0</v>
      </c>
      <c r="N842" s="31">
        <v>0</v>
      </c>
      <c r="O842" s="31">
        <v>0</v>
      </c>
      <c r="P842" s="31">
        <v>0</v>
      </c>
      <c r="Q842" s="31">
        <v>0</v>
      </c>
      <c r="R842" s="31">
        <v>0</v>
      </c>
      <c r="S842" s="31">
        <v>114</v>
      </c>
      <c r="T842" s="31">
        <v>966674.55</v>
      </c>
      <c r="U842" s="31">
        <v>0</v>
      </c>
      <c r="V842" s="31">
        <v>0</v>
      </c>
      <c r="W842" s="31">
        <v>0</v>
      </c>
      <c r="X842" s="31">
        <v>0</v>
      </c>
      <c r="Y842" s="31">
        <v>0</v>
      </c>
      <c r="Z842" s="31">
        <v>0</v>
      </c>
      <c r="AA842" s="31">
        <v>0</v>
      </c>
      <c r="AB842" s="31">
        <v>0</v>
      </c>
      <c r="AC842" s="31">
        <f>ROUND(T842*1.5%,2)</f>
        <v>14500.12</v>
      </c>
      <c r="AD842" s="31">
        <v>120000</v>
      </c>
      <c r="AE842" s="31">
        <v>120000</v>
      </c>
      <c r="AF842" s="34">
        <v>2021</v>
      </c>
      <c r="AG842" s="34">
        <v>2021</v>
      </c>
      <c r="AH842" s="35">
        <v>2021</v>
      </c>
      <c r="BZ842" s="71"/>
      <c r="CD842" s="20" t="e">
        <f t="shared" si="170"/>
        <v>#N/A</v>
      </c>
    </row>
    <row r="843" spans="1:82" ht="61.5" x14ac:dyDescent="0.85">
      <c r="A843" s="20">
        <v>1</v>
      </c>
      <c r="B843" s="66">
        <f>SUBTOTAL(103,$A$552:A843)</f>
        <v>278</v>
      </c>
      <c r="C843" s="24" t="s">
        <v>1242</v>
      </c>
      <c r="D843" s="31">
        <f t="shared" si="174"/>
        <v>2422763.91</v>
      </c>
      <c r="E843" s="38">
        <v>0</v>
      </c>
      <c r="F843" s="38">
        <v>0</v>
      </c>
      <c r="G843" s="31">
        <v>0</v>
      </c>
      <c r="H843" s="38">
        <v>0</v>
      </c>
      <c r="I843" s="38">
        <v>0</v>
      </c>
      <c r="J843" s="38">
        <v>0</v>
      </c>
      <c r="K843" s="33">
        <v>0</v>
      </c>
      <c r="L843" s="31">
        <v>0</v>
      </c>
      <c r="M843" s="31">
        <v>665</v>
      </c>
      <c r="N843" s="31">
        <v>2268732.92</v>
      </c>
      <c r="O843" s="38">
        <v>0</v>
      </c>
      <c r="P843" s="38">
        <v>0</v>
      </c>
      <c r="Q843" s="31">
        <v>0</v>
      </c>
      <c r="R843" s="31">
        <v>0</v>
      </c>
      <c r="S843" s="31">
        <v>0</v>
      </c>
      <c r="T843" s="31">
        <v>0</v>
      </c>
      <c r="U843" s="31">
        <v>0</v>
      </c>
      <c r="V843" s="31">
        <v>0</v>
      </c>
      <c r="W843" s="31">
        <v>0</v>
      </c>
      <c r="X843" s="31">
        <v>0</v>
      </c>
      <c r="Y843" s="31">
        <v>0</v>
      </c>
      <c r="Z843" s="31">
        <v>0</v>
      </c>
      <c r="AA843" s="31">
        <v>0</v>
      </c>
      <c r="AB843" s="31">
        <v>0</v>
      </c>
      <c r="AC843" s="31">
        <f>ROUND(N843*1.5%,2)</f>
        <v>34030.99</v>
      </c>
      <c r="AD843" s="31">
        <v>120000</v>
      </c>
      <c r="AE843" s="31">
        <v>0</v>
      </c>
      <c r="AF843" s="34">
        <v>2021</v>
      </c>
      <c r="AG843" s="34">
        <v>2021</v>
      </c>
      <c r="AH843" s="35">
        <v>2021</v>
      </c>
      <c r="BZ843" s="71"/>
      <c r="CD843" s="20" t="e">
        <f t="shared" si="170"/>
        <v>#N/A</v>
      </c>
    </row>
    <row r="844" spans="1:82" ht="61.5" x14ac:dyDescent="0.85">
      <c r="B844" s="24" t="s">
        <v>1308</v>
      </c>
      <c r="C844" s="24"/>
      <c r="D844" s="31">
        <f>D845</f>
        <v>3284631.43</v>
      </c>
      <c r="E844" s="31">
        <f t="shared" ref="E844:AE844" si="175">E845</f>
        <v>0</v>
      </c>
      <c r="F844" s="31">
        <f t="shared" si="175"/>
        <v>0</v>
      </c>
      <c r="G844" s="31">
        <f t="shared" si="175"/>
        <v>0</v>
      </c>
      <c r="H844" s="31">
        <f t="shared" si="175"/>
        <v>0</v>
      </c>
      <c r="I844" s="31">
        <f t="shared" si="175"/>
        <v>0</v>
      </c>
      <c r="J844" s="31">
        <f t="shared" si="175"/>
        <v>0</v>
      </c>
      <c r="K844" s="33">
        <f t="shared" si="175"/>
        <v>0</v>
      </c>
      <c r="L844" s="31">
        <f t="shared" si="175"/>
        <v>0</v>
      </c>
      <c r="M844" s="31">
        <f t="shared" si="175"/>
        <v>0</v>
      </c>
      <c r="N844" s="31">
        <f>N845</f>
        <v>0</v>
      </c>
      <c r="O844" s="31">
        <f t="shared" si="175"/>
        <v>0</v>
      </c>
      <c r="P844" s="31">
        <f t="shared" si="175"/>
        <v>0</v>
      </c>
      <c r="Q844" s="31">
        <f t="shared" si="175"/>
        <v>842.36</v>
      </c>
      <c r="R844" s="31">
        <f t="shared" si="175"/>
        <v>3088306.83</v>
      </c>
      <c r="S844" s="31">
        <f t="shared" si="175"/>
        <v>0</v>
      </c>
      <c r="T844" s="31">
        <f t="shared" si="175"/>
        <v>0</v>
      </c>
      <c r="U844" s="31">
        <f t="shared" si="175"/>
        <v>0</v>
      </c>
      <c r="V844" s="31">
        <f t="shared" si="175"/>
        <v>0</v>
      </c>
      <c r="W844" s="31">
        <f t="shared" si="175"/>
        <v>0</v>
      </c>
      <c r="X844" s="31">
        <f t="shared" si="175"/>
        <v>0</v>
      </c>
      <c r="Y844" s="31">
        <f t="shared" si="175"/>
        <v>0</v>
      </c>
      <c r="Z844" s="31">
        <f t="shared" si="175"/>
        <v>0</v>
      </c>
      <c r="AA844" s="31">
        <f t="shared" si="175"/>
        <v>0</v>
      </c>
      <c r="AB844" s="31">
        <f t="shared" si="175"/>
        <v>0</v>
      </c>
      <c r="AC844" s="31">
        <f t="shared" si="175"/>
        <v>46324.6</v>
      </c>
      <c r="AD844" s="31">
        <f t="shared" si="175"/>
        <v>150000</v>
      </c>
      <c r="AE844" s="31">
        <f t="shared" si="175"/>
        <v>0</v>
      </c>
      <c r="AF844" s="72" t="s">
        <v>776</v>
      </c>
      <c r="AG844" s="72" t="s">
        <v>776</v>
      </c>
      <c r="AH844" s="88" t="s">
        <v>776</v>
      </c>
      <c r="AT844" s="20" t="e">
        <f>VLOOKUP(C844,AW:AX,2,FALSE)</f>
        <v>#N/A</v>
      </c>
      <c r="BZ844" s="71">
        <v>3284631.43</v>
      </c>
      <c r="CD844" s="20" t="e">
        <f t="shared" si="170"/>
        <v>#N/A</v>
      </c>
    </row>
    <row r="845" spans="1:82" ht="61.5" x14ac:dyDescent="0.85">
      <c r="A845" s="20">
        <v>1</v>
      </c>
      <c r="B845" s="66">
        <f>SUBTOTAL(103,$A$552:A845)</f>
        <v>279</v>
      </c>
      <c r="C845" s="24" t="s">
        <v>1309</v>
      </c>
      <c r="D845" s="31">
        <f t="shared" si="173"/>
        <v>3284631.43</v>
      </c>
      <c r="E845" s="31">
        <v>0</v>
      </c>
      <c r="F845" s="31">
        <v>0</v>
      </c>
      <c r="G845" s="31">
        <v>0</v>
      </c>
      <c r="H845" s="31">
        <v>0</v>
      </c>
      <c r="I845" s="31">
        <v>0</v>
      </c>
      <c r="J845" s="31">
        <v>0</v>
      </c>
      <c r="K845" s="33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842.36</v>
      </c>
      <c r="R845" s="31">
        <v>3088306.83</v>
      </c>
      <c r="S845" s="31">
        <v>0</v>
      </c>
      <c r="T845" s="31">
        <v>0</v>
      </c>
      <c r="U845" s="31">
        <v>0</v>
      </c>
      <c r="V845" s="31">
        <v>0</v>
      </c>
      <c r="W845" s="31">
        <v>0</v>
      </c>
      <c r="X845" s="31">
        <v>0</v>
      </c>
      <c r="Y845" s="31">
        <v>0</v>
      </c>
      <c r="Z845" s="31">
        <v>0</v>
      </c>
      <c r="AA845" s="31">
        <v>0</v>
      </c>
      <c r="AB845" s="31">
        <v>0</v>
      </c>
      <c r="AC845" s="31">
        <f>ROUND(R845*1.5%,2)</f>
        <v>46324.6</v>
      </c>
      <c r="AD845" s="31">
        <v>150000</v>
      </c>
      <c r="AE845" s="31">
        <v>0</v>
      </c>
      <c r="AF845" s="34">
        <v>2021</v>
      </c>
      <c r="AG845" s="34">
        <v>2021</v>
      </c>
      <c r="AH845" s="35">
        <v>2021</v>
      </c>
      <c r="BZ845" s="71"/>
      <c r="CD845" s="20" t="e">
        <f t="shared" si="170"/>
        <v>#N/A</v>
      </c>
    </row>
    <row r="846" spans="1:82" ht="61.5" x14ac:dyDescent="0.85">
      <c r="B846" s="24" t="s">
        <v>892</v>
      </c>
      <c r="C846" s="24"/>
      <c r="D846" s="31">
        <f t="shared" ref="D846:AE846" si="176">SUM(D847)</f>
        <v>2255220</v>
      </c>
      <c r="E846" s="31">
        <f t="shared" si="176"/>
        <v>0</v>
      </c>
      <c r="F846" s="31">
        <f t="shared" si="176"/>
        <v>0</v>
      </c>
      <c r="G846" s="31">
        <f t="shared" si="176"/>
        <v>0</v>
      </c>
      <c r="H846" s="31">
        <f t="shared" si="176"/>
        <v>0</v>
      </c>
      <c r="I846" s="31">
        <f t="shared" si="176"/>
        <v>0</v>
      </c>
      <c r="J846" s="31">
        <f t="shared" si="176"/>
        <v>0</v>
      </c>
      <c r="K846" s="33">
        <f t="shared" si="176"/>
        <v>0</v>
      </c>
      <c r="L846" s="31">
        <f t="shared" si="176"/>
        <v>0</v>
      </c>
      <c r="M846" s="31">
        <f t="shared" si="176"/>
        <v>442.2</v>
      </c>
      <c r="N846" s="31">
        <f t="shared" si="176"/>
        <v>2103665.02</v>
      </c>
      <c r="O846" s="31">
        <f t="shared" si="176"/>
        <v>0</v>
      </c>
      <c r="P846" s="31">
        <f t="shared" si="176"/>
        <v>0</v>
      </c>
      <c r="Q846" s="31">
        <f t="shared" si="176"/>
        <v>0</v>
      </c>
      <c r="R846" s="31">
        <f t="shared" si="176"/>
        <v>0</v>
      </c>
      <c r="S846" s="31">
        <f t="shared" si="176"/>
        <v>0</v>
      </c>
      <c r="T846" s="31">
        <f t="shared" si="176"/>
        <v>0</v>
      </c>
      <c r="U846" s="31">
        <f t="shared" si="176"/>
        <v>0</v>
      </c>
      <c r="V846" s="31">
        <f t="shared" si="176"/>
        <v>0</v>
      </c>
      <c r="W846" s="31">
        <f t="shared" si="176"/>
        <v>0</v>
      </c>
      <c r="X846" s="31">
        <f t="shared" si="176"/>
        <v>0</v>
      </c>
      <c r="Y846" s="31">
        <f t="shared" si="176"/>
        <v>0</v>
      </c>
      <c r="Z846" s="31">
        <f t="shared" si="176"/>
        <v>0</v>
      </c>
      <c r="AA846" s="31">
        <f t="shared" si="176"/>
        <v>0</v>
      </c>
      <c r="AB846" s="31">
        <f t="shared" si="176"/>
        <v>0</v>
      </c>
      <c r="AC846" s="31">
        <f t="shared" si="176"/>
        <v>31554.98</v>
      </c>
      <c r="AD846" s="31">
        <f t="shared" si="176"/>
        <v>120000</v>
      </c>
      <c r="AE846" s="31">
        <f t="shared" si="176"/>
        <v>0</v>
      </c>
      <c r="AF846" s="72" t="s">
        <v>776</v>
      </c>
      <c r="AG846" s="72" t="s">
        <v>776</v>
      </c>
      <c r="AH846" s="88" t="s">
        <v>776</v>
      </c>
      <c r="AT846" s="20" t="e">
        <f t="shared" ref="AT846:AT880" si="177">VLOOKUP(C846,AW:AX,2,FALSE)</f>
        <v>#N/A</v>
      </c>
      <c r="BZ846" s="71">
        <v>2255220</v>
      </c>
      <c r="CD846" s="20" t="e">
        <f t="shared" si="170"/>
        <v>#N/A</v>
      </c>
    </row>
    <row r="847" spans="1:82" ht="61.5" x14ac:dyDescent="0.85">
      <c r="A847" s="20">
        <v>1</v>
      </c>
      <c r="B847" s="66">
        <f>SUBTOTAL(103,$A$552:A847)</f>
        <v>280</v>
      </c>
      <c r="C847" s="24" t="s">
        <v>247</v>
      </c>
      <c r="D847" s="31">
        <f>E847+F847+G847+H847+I847+J847+L847+N847+P847+R847+T847+U847+V847+W847+X847+Y847+Z847+AA847+AB847+AC847+AD847+AE847</f>
        <v>2255220</v>
      </c>
      <c r="E847" s="31">
        <v>0</v>
      </c>
      <c r="F847" s="31">
        <v>0</v>
      </c>
      <c r="G847" s="31">
        <v>0</v>
      </c>
      <c r="H847" s="31">
        <v>0</v>
      </c>
      <c r="I847" s="31">
        <v>0</v>
      </c>
      <c r="J847" s="31">
        <v>0</v>
      </c>
      <c r="K847" s="33">
        <v>0</v>
      </c>
      <c r="L847" s="31">
        <v>0</v>
      </c>
      <c r="M847" s="31">
        <v>442.2</v>
      </c>
      <c r="N847" s="31">
        <v>2103665.02</v>
      </c>
      <c r="O847" s="31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1">
        <v>0</v>
      </c>
      <c r="W847" s="31">
        <v>0</v>
      </c>
      <c r="X847" s="31">
        <v>0</v>
      </c>
      <c r="Y847" s="31">
        <v>0</v>
      </c>
      <c r="Z847" s="31">
        <v>0</v>
      </c>
      <c r="AA847" s="31">
        <v>0</v>
      </c>
      <c r="AB847" s="31">
        <v>0</v>
      </c>
      <c r="AC847" s="31">
        <f>ROUND(N847*1.5%,2)</f>
        <v>31554.98</v>
      </c>
      <c r="AD847" s="31">
        <v>120000</v>
      </c>
      <c r="AE847" s="31">
        <v>0</v>
      </c>
      <c r="AF847" s="34">
        <v>2021</v>
      </c>
      <c r="AG847" s="34">
        <v>2021</v>
      </c>
      <c r="AH847" s="35">
        <v>2021</v>
      </c>
      <c r="AT847" s="20" t="e">
        <f t="shared" si="177"/>
        <v>#N/A</v>
      </c>
      <c r="BZ847" s="71"/>
      <c r="CD847" s="20" t="e">
        <f t="shared" si="170"/>
        <v>#N/A</v>
      </c>
    </row>
    <row r="848" spans="1:82" ht="61.5" x14ac:dyDescent="0.85">
      <c r="B848" s="24" t="s">
        <v>893</v>
      </c>
      <c r="C848" s="208"/>
      <c r="D848" s="31">
        <f t="shared" ref="D848:AE848" si="178">D849</f>
        <v>2610900</v>
      </c>
      <c r="E848" s="31">
        <f t="shared" si="178"/>
        <v>0</v>
      </c>
      <c r="F848" s="31">
        <f t="shared" si="178"/>
        <v>0</v>
      </c>
      <c r="G848" s="31">
        <f t="shared" si="178"/>
        <v>0</v>
      </c>
      <c r="H848" s="31">
        <f t="shared" si="178"/>
        <v>0</v>
      </c>
      <c r="I848" s="31">
        <f t="shared" si="178"/>
        <v>0</v>
      </c>
      <c r="J848" s="31">
        <f t="shared" si="178"/>
        <v>0</v>
      </c>
      <c r="K848" s="33">
        <f t="shared" si="178"/>
        <v>0</v>
      </c>
      <c r="L848" s="31">
        <f t="shared" si="178"/>
        <v>0</v>
      </c>
      <c r="M848" s="31">
        <f t="shared" si="178"/>
        <v>500</v>
      </c>
      <c r="N848" s="31">
        <f t="shared" si="178"/>
        <v>2454088.67</v>
      </c>
      <c r="O848" s="31">
        <f t="shared" si="178"/>
        <v>0</v>
      </c>
      <c r="P848" s="31">
        <f t="shared" si="178"/>
        <v>0</v>
      </c>
      <c r="Q848" s="31">
        <f t="shared" si="178"/>
        <v>0</v>
      </c>
      <c r="R848" s="31">
        <f t="shared" si="178"/>
        <v>0</v>
      </c>
      <c r="S848" s="31">
        <f t="shared" si="178"/>
        <v>0</v>
      </c>
      <c r="T848" s="31">
        <f t="shared" si="178"/>
        <v>0</v>
      </c>
      <c r="U848" s="31">
        <f t="shared" si="178"/>
        <v>0</v>
      </c>
      <c r="V848" s="31">
        <f t="shared" si="178"/>
        <v>0</v>
      </c>
      <c r="W848" s="31">
        <f t="shared" si="178"/>
        <v>0</v>
      </c>
      <c r="X848" s="31">
        <f t="shared" si="178"/>
        <v>0</v>
      </c>
      <c r="Y848" s="31">
        <f t="shared" si="178"/>
        <v>0</v>
      </c>
      <c r="Z848" s="31">
        <f t="shared" si="178"/>
        <v>0</v>
      </c>
      <c r="AA848" s="31">
        <f t="shared" si="178"/>
        <v>0</v>
      </c>
      <c r="AB848" s="31">
        <f t="shared" si="178"/>
        <v>0</v>
      </c>
      <c r="AC848" s="31">
        <f t="shared" si="178"/>
        <v>36811.33</v>
      </c>
      <c r="AD848" s="31">
        <f t="shared" si="178"/>
        <v>120000</v>
      </c>
      <c r="AE848" s="31">
        <f t="shared" si="178"/>
        <v>0</v>
      </c>
      <c r="AF848" s="72" t="s">
        <v>776</v>
      </c>
      <c r="AG848" s="72" t="s">
        <v>776</v>
      </c>
      <c r="AH848" s="88" t="s">
        <v>776</v>
      </c>
      <c r="AT848" s="20" t="e">
        <f t="shared" si="177"/>
        <v>#N/A</v>
      </c>
      <c r="BZ848" s="71">
        <v>2610900</v>
      </c>
      <c r="CD848" s="20" t="e">
        <f t="shared" si="170"/>
        <v>#N/A</v>
      </c>
    </row>
    <row r="849" spans="1:82" ht="61.5" x14ac:dyDescent="0.85">
      <c r="A849" s="20">
        <v>1</v>
      </c>
      <c r="B849" s="66">
        <f>SUBTOTAL(103,$A$552:A849)</f>
        <v>281</v>
      </c>
      <c r="C849" s="25" t="s">
        <v>2</v>
      </c>
      <c r="D849" s="31">
        <f>E849+F849+G849+H849+I849+J849+L849+N849+P849+R849+T849+U849+V849+W849+X849+Y849+Z849+AA849+AB849+AC849+AD849+AE849</f>
        <v>2610900</v>
      </c>
      <c r="E849" s="31">
        <v>0</v>
      </c>
      <c r="F849" s="31">
        <v>0</v>
      </c>
      <c r="G849" s="31">
        <v>0</v>
      </c>
      <c r="H849" s="31">
        <v>0</v>
      </c>
      <c r="I849" s="31">
        <v>0</v>
      </c>
      <c r="J849" s="31">
        <v>0</v>
      </c>
      <c r="K849" s="33">
        <v>0</v>
      </c>
      <c r="L849" s="31">
        <v>0</v>
      </c>
      <c r="M849" s="31">
        <v>500</v>
      </c>
      <c r="N849" s="31">
        <v>2454088.67</v>
      </c>
      <c r="O849" s="31">
        <v>0</v>
      </c>
      <c r="P849" s="31">
        <v>0</v>
      </c>
      <c r="Q849" s="31">
        <v>0</v>
      </c>
      <c r="R849" s="31">
        <v>0</v>
      </c>
      <c r="S849" s="31">
        <v>0</v>
      </c>
      <c r="T849" s="31">
        <v>0</v>
      </c>
      <c r="U849" s="31">
        <v>0</v>
      </c>
      <c r="V849" s="31">
        <v>0</v>
      </c>
      <c r="W849" s="31">
        <v>0</v>
      </c>
      <c r="X849" s="31">
        <v>0</v>
      </c>
      <c r="Y849" s="31">
        <v>0</v>
      </c>
      <c r="Z849" s="31">
        <v>0</v>
      </c>
      <c r="AA849" s="31">
        <v>0</v>
      </c>
      <c r="AB849" s="31">
        <v>0</v>
      </c>
      <c r="AC849" s="31">
        <f>ROUND(N849*1.5%,2)</f>
        <v>36811.33</v>
      </c>
      <c r="AD849" s="31">
        <v>120000</v>
      </c>
      <c r="AE849" s="31">
        <v>0</v>
      </c>
      <c r="AF849" s="34">
        <v>2021</v>
      </c>
      <c r="AG849" s="34">
        <v>2021</v>
      </c>
      <c r="AH849" s="35">
        <v>2021</v>
      </c>
      <c r="AT849" s="20" t="e">
        <f t="shared" si="177"/>
        <v>#N/A</v>
      </c>
      <c r="BZ849" s="71"/>
      <c r="CD849" s="20" t="e">
        <f t="shared" si="170"/>
        <v>#N/A</v>
      </c>
    </row>
    <row r="850" spans="1:82" ht="61.5" x14ac:dyDescent="0.85">
      <c r="B850" s="24" t="s">
        <v>894</v>
      </c>
      <c r="C850" s="25"/>
      <c r="D850" s="31">
        <f t="shared" ref="D850:AE850" si="179">D851</f>
        <v>3133080</v>
      </c>
      <c r="E850" s="31">
        <f t="shared" si="179"/>
        <v>0</v>
      </c>
      <c r="F850" s="31">
        <f t="shared" si="179"/>
        <v>0</v>
      </c>
      <c r="G850" s="31">
        <f t="shared" si="179"/>
        <v>0</v>
      </c>
      <c r="H850" s="31">
        <f t="shared" si="179"/>
        <v>0</v>
      </c>
      <c r="I850" s="31">
        <f t="shared" si="179"/>
        <v>0</v>
      </c>
      <c r="J850" s="31">
        <f t="shared" si="179"/>
        <v>0</v>
      </c>
      <c r="K850" s="33">
        <f t="shared" si="179"/>
        <v>0</v>
      </c>
      <c r="L850" s="31">
        <f t="shared" si="179"/>
        <v>0</v>
      </c>
      <c r="M850" s="31">
        <f t="shared" si="179"/>
        <v>600</v>
      </c>
      <c r="N850" s="31">
        <f t="shared" si="179"/>
        <v>2938995.07</v>
      </c>
      <c r="O850" s="31">
        <f t="shared" si="179"/>
        <v>0</v>
      </c>
      <c r="P850" s="31">
        <f t="shared" si="179"/>
        <v>0</v>
      </c>
      <c r="Q850" s="31">
        <f t="shared" si="179"/>
        <v>0</v>
      </c>
      <c r="R850" s="31">
        <f t="shared" si="179"/>
        <v>0</v>
      </c>
      <c r="S850" s="31">
        <f t="shared" si="179"/>
        <v>0</v>
      </c>
      <c r="T850" s="31">
        <f t="shared" si="179"/>
        <v>0</v>
      </c>
      <c r="U850" s="31">
        <f t="shared" si="179"/>
        <v>0</v>
      </c>
      <c r="V850" s="31">
        <f t="shared" si="179"/>
        <v>0</v>
      </c>
      <c r="W850" s="31">
        <f t="shared" si="179"/>
        <v>0</v>
      </c>
      <c r="X850" s="31">
        <f t="shared" si="179"/>
        <v>0</v>
      </c>
      <c r="Y850" s="31">
        <f t="shared" si="179"/>
        <v>0</v>
      </c>
      <c r="Z850" s="31">
        <f t="shared" si="179"/>
        <v>0</v>
      </c>
      <c r="AA850" s="31">
        <f t="shared" si="179"/>
        <v>0</v>
      </c>
      <c r="AB850" s="31">
        <f t="shared" si="179"/>
        <v>0</v>
      </c>
      <c r="AC850" s="31">
        <f t="shared" si="179"/>
        <v>44084.93</v>
      </c>
      <c r="AD850" s="31">
        <f t="shared" si="179"/>
        <v>150000</v>
      </c>
      <c r="AE850" s="31">
        <f t="shared" si="179"/>
        <v>0</v>
      </c>
      <c r="AF850" s="72" t="s">
        <v>776</v>
      </c>
      <c r="AG850" s="72" t="s">
        <v>776</v>
      </c>
      <c r="AH850" s="88" t="s">
        <v>776</v>
      </c>
      <c r="AT850" s="20" t="e">
        <f t="shared" si="177"/>
        <v>#N/A</v>
      </c>
      <c r="BZ850" s="71">
        <v>3133080</v>
      </c>
      <c r="CB850" s="71">
        <f>BZ850-D850</f>
        <v>0</v>
      </c>
      <c r="CD850" s="20" t="e">
        <f t="shared" si="170"/>
        <v>#N/A</v>
      </c>
    </row>
    <row r="851" spans="1:82" ht="61.5" x14ac:dyDescent="0.85">
      <c r="A851" s="20">
        <v>1</v>
      </c>
      <c r="B851" s="66">
        <f>SUBTOTAL(103,$A$552:A851)</f>
        <v>282</v>
      </c>
      <c r="C851" s="25" t="s">
        <v>1</v>
      </c>
      <c r="D851" s="31">
        <f>E851+F851+G851+H851+I851+J851+L851+N851+P851+R851+T851+U851+V851+W851+X851+Y851+Z851+AA851+AB851+AC851+AD851+AE851</f>
        <v>3133080</v>
      </c>
      <c r="E851" s="31">
        <v>0</v>
      </c>
      <c r="F851" s="31">
        <v>0</v>
      </c>
      <c r="G851" s="31">
        <v>0</v>
      </c>
      <c r="H851" s="31">
        <v>0</v>
      </c>
      <c r="I851" s="31">
        <v>0</v>
      </c>
      <c r="J851" s="31">
        <v>0</v>
      </c>
      <c r="K851" s="33">
        <v>0</v>
      </c>
      <c r="L851" s="31">
        <v>0</v>
      </c>
      <c r="M851" s="31">
        <v>600</v>
      </c>
      <c r="N851" s="31">
        <v>2938995.07</v>
      </c>
      <c r="O851" s="31">
        <v>0</v>
      </c>
      <c r="P851" s="31">
        <v>0</v>
      </c>
      <c r="Q851" s="31">
        <v>0</v>
      </c>
      <c r="R851" s="31">
        <v>0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1">
        <v>0</v>
      </c>
      <c r="Y851" s="31">
        <v>0</v>
      </c>
      <c r="Z851" s="31">
        <v>0</v>
      </c>
      <c r="AA851" s="31">
        <v>0</v>
      </c>
      <c r="AB851" s="31">
        <v>0</v>
      </c>
      <c r="AC851" s="31">
        <f>ROUND(N851*1.5%,2)</f>
        <v>44084.93</v>
      </c>
      <c r="AD851" s="31">
        <v>150000</v>
      </c>
      <c r="AE851" s="31">
        <v>0</v>
      </c>
      <c r="AF851" s="34">
        <v>2021</v>
      </c>
      <c r="AG851" s="34">
        <v>2021</v>
      </c>
      <c r="AH851" s="35">
        <v>2021</v>
      </c>
      <c r="AT851" s="20" t="e">
        <f t="shared" si="177"/>
        <v>#N/A</v>
      </c>
      <c r="BZ851" s="71"/>
      <c r="CD851" s="20" t="e">
        <f t="shared" si="170"/>
        <v>#N/A</v>
      </c>
    </row>
    <row r="852" spans="1:82" ht="61.5" x14ac:dyDescent="0.85">
      <c r="B852" s="24" t="s">
        <v>853</v>
      </c>
      <c r="C852" s="129"/>
      <c r="D852" s="31">
        <f t="shared" ref="D852:AE852" si="180">D853</f>
        <v>8458120</v>
      </c>
      <c r="E852" s="31">
        <f t="shared" si="180"/>
        <v>0</v>
      </c>
      <c r="F852" s="31">
        <f t="shared" si="180"/>
        <v>0</v>
      </c>
      <c r="G852" s="31">
        <f t="shared" si="180"/>
        <v>0</v>
      </c>
      <c r="H852" s="31">
        <f t="shared" si="180"/>
        <v>0</v>
      </c>
      <c r="I852" s="31">
        <f t="shared" si="180"/>
        <v>0</v>
      </c>
      <c r="J852" s="31">
        <f t="shared" si="180"/>
        <v>0</v>
      </c>
      <c r="K852" s="33">
        <f t="shared" si="180"/>
        <v>0</v>
      </c>
      <c r="L852" s="31">
        <f t="shared" si="180"/>
        <v>0</v>
      </c>
      <c r="M852" s="31">
        <f t="shared" si="180"/>
        <v>2000</v>
      </c>
      <c r="N852" s="31">
        <f t="shared" si="180"/>
        <v>8185339.9000000004</v>
      </c>
      <c r="O852" s="31">
        <f t="shared" si="180"/>
        <v>0</v>
      </c>
      <c r="P852" s="31">
        <f t="shared" si="180"/>
        <v>0</v>
      </c>
      <c r="Q852" s="31">
        <f t="shared" si="180"/>
        <v>0</v>
      </c>
      <c r="R852" s="31">
        <f t="shared" si="180"/>
        <v>0</v>
      </c>
      <c r="S852" s="31">
        <f t="shared" si="180"/>
        <v>0</v>
      </c>
      <c r="T852" s="31">
        <f t="shared" si="180"/>
        <v>0</v>
      </c>
      <c r="U852" s="31">
        <f t="shared" si="180"/>
        <v>0</v>
      </c>
      <c r="V852" s="31">
        <f t="shared" si="180"/>
        <v>0</v>
      </c>
      <c r="W852" s="31">
        <f t="shared" si="180"/>
        <v>0</v>
      </c>
      <c r="X852" s="31">
        <f t="shared" si="180"/>
        <v>0</v>
      </c>
      <c r="Y852" s="31">
        <f t="shared" si="180"/>
        <v>0</v>
      </c>
      <c r="Z852" s="31">
        <f t="shared" si="180"/>
        <v>0</v>
      </c>
      <c r="AA852" s="31">
        <f t="shared" si="180"/>
        <v>0</v>
      </c>
      <c r="AB852" s="31">
        <f t="shared" si="180"/>
        <v>0</v>
      </c>
      <c r="AC852" s="31">
        <f t="shared" si="180"/>
        <v>122780.1</v>
      </c>
      <c r="AD852" s="31">
        <f t="shared" si="180"/>
        <v>150000</v>
      </c>
      <c r="AE852" s="31">
        <f t="shared" si="180"/>
        <v>0</v>
      </c>
      <c r="AF852" s="72" t="s">
        <v>776</v>
      </c>
      <c r="AG852" s="72" t="s">
        <v>776</v>
      </c>
      <c r="AH852" s="88" t="s">
        <v>776</v>
      </c>
      <c r="AT852" s="20" t="e">
        <f t="shared" si="177"/>
        <v>#N/A</v>
      </c>
      <c r="BZ852" s="71">
        <v>7250046.1200000001</v>
      </c>
      <c r="CB852" s="71">
        <f>BZ852-D852</f>
        <v>-1208073.8799999999</v>
      </c>
      <c r="CD852" s="20" t="e">
        <f t="shared" si="170"/>
        <v>#N/A</v>
      </c>
    </row>
    <row r="853" spans="1:82" ht="61.5" x14ac:dyDescent="0.85">
      <c r="A853" s="20">
        <v>1</v>
      </c>
      <c r="B853" s="66">
        <f>SUBTOTAL(103,$A$552:A853)</f>
        <v>283</v>
      </c>
      <c r="C853" s="24" t="s">
        <v>718</v>
      </c>
      <c r="D853" s="31">
        <f>E853+F853+G853+H853+I853+J853+L853+N853+P853+R853+T853+U853+V853+W853+X853+Y853+Z853+AA853+AB853+AC853+AD853+AE853</f>
        <v>8458120</v>
      </c>
      <c r="E853" s="31">
        <v>0</v>
      </c>
      <c r="F853" s="31">
        <v>0</v>
      </c>
      <c r="G853" s="31">
        <v>0</v>
      </c>
      <c r="H853" s="31">
        <v>0</v>
      </c>
      <c r="I853" s="31">
        <v>0</v>
      </c>
      <c r="J853" s="31">
        <v>0</v>
      </c>
      <c r="K853" s="33">
        <v>0</v>
      </c>
      <c r="L853" s="31">
        <v>0</v>
      </c>
      <c r="M853" s="31">
        <v>2000</v>
      </c>
      <c r="N853" s="31">
        <v>8185339.9000000004</v>
      </c>
      <c r="O853" s="31">
        <v>0</v>
      </c>
      <c r="P853" s="31">
        <v>0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1">
        <v>0</v>
      </c>
      <c r="Y853" s="31">
        <v>0</v>
      </c>
      <c r="Z853" s="31">
        <v>0</v>
      </c>
      <c r="AA853" s="31">
        <v>0</v>
      </c>
      <c r="AB853" s="31">
        <v>0</v>
      </c>
      <c r="AC853" s="31">
        <f>ROUND(N853*1.5%,2)</f>
        <v>122780.1</v>
      </c>
      <c r="AD853" s="31">
        <v>150000</v>
      </c>
      <c r="AE853" s="31">
        <v>0</v>
      </c>
      <c r="AF853" s="34">
        <v>2021</v>
      </c>
      <c r="AG853" s="34">
        <v>2021</v>
      </c>
      <c r="AH853" s="35">
        <v>2021</v>
      </c>
      <c r="AT853" s="20" t="e">
        <f t="shared" si="177"/>
        <v>#N/A</v>
      </c>
      <c r="BZ853" s="71"/>
      <c r="CD853" s="20" t="e">
        <f t="shared" si="170"/>
        <v>#N/A</v>
      </c>
    </row>
    <row r="854" spans="1:82" ht="61.5" x14ac:dyDescent="0.85">
      <c r="B854" s="24" t="s">
        <v>895</v>
      </c>
      <c r="C854" s="24"/>
      <c r="D854" s="31">
        <f t="shared" ref="D854:AE854" si="181">D855</f>
        <v>2537436</v>
      </c>
      <c r="E854" s="31">
        <f t="shared" si="181"/>
        <v>0</v>
      </c>
      <c r="F854" s="31">
        <f t="shared" si="181"/>
        <v>0</v>
      </c>
      <c r="G854" s="31">
        <f t="shared" si="181"/>
        <v>0</v>
      </c>
      <c r="H854" s="31">
        <f t="shared" si="181"/>
        <v>0</v>
      </c>
      <c r="I854" s="31">
        <f t="shared" si="181"/>
        <v>0</v>
      </c>
      <c r="J854" s="31">
        <f t="shared" si="181"/>
        <v>0</v>
      </c>
      <c r="K854" s="33">
        <f t="shared" si="181"/>
        <v>0</v>
      </c>
      <c r="L854" s="31">
        <f t="shared" si="181"/>
        <v>0</v>
      </c>
      <c r="M854" s="31">
        <f t="shared" si="181"/>
        <v>600</v>
      </c>
      <c r="N854" s="31">
        <f t="shared" si="181"/>
        <v>2371858.13</v>
      </c>
      <c r="O854" s="31">
        <f t="shared" si="181"/>
        <v>0</v>
      </c>
      <c r="P854" s="31">
        <f t="shared" si="181"/>
        <v>0</v>
      </c>
      <c r="Q854" s="31">
        <f t="shared" si="181"/>
        <v>0</v>
      </c>
      <c r="R854" s="31">
        <f t="shared" si="181"/>
        <v>0</v>
      </c>
      <c r="S854" s="31">
        <f t="shared" si="181"/>
        <v>0</v>
      </c>
      <c r="T854" s="31">
        <f t="shared" si="181"/>
        <v>0</v>
      </c>
      <c r="U854" s="31">
        <f t="shared" si="181"/>
        <v>0</v>
      </c>
      <c r="V854" s="31">
        <f t="shared" si="181"/>
        <v>0</v>
      </c>
      <c r="W854" s="31">
        <f t="shared" si="181"/>
        <v>0</v>
      </c>
      <c r="X854" s="31">
        <f t="shared" si="181"/>
        <v>0</v>
      </c>
      <c r="Y854" s="31">
        <f t="shared" si="181"/>
        <v>0</v>
      </c>
      <c r="Z854" s="31">
        <f t="shared" si="181"/>
        <v>0</v>
      </c>
      <c r="AA854" s="31">
        <f t="shared" si="181"/>
        <v>0</v>
      </c>
      <c r="AB854" s="31">
        <f t="shared" si="181"/>
        <v>0</v>
      </c>
      <c r="AC854" s="31">
        <f t="shared" si="181"/>
        <v>35577.870000000003</v>
      </c>
      <c r="AD854" s="31">
        <f t="shared" si="181"/>
        <v>130000</v>
      </c>
      <c r="AE854" s="31">
        <f t="shared" si="181"/>
        <v>0</v>
      </c>
      <c r="AF854" s="72" t="s">
        <v>776</v>
      </c>
      <c r="AG854" s="72" t="s">
        <v>776</v>
      </c>
      <c r="AH854" s="88" t="s">
        <v>776</v>
      </c>
      <c r="AT854" s="20" t="e">
        <f t="shared" si="177"/>
        <v>#N/A</v>
      </c>
      <c r="BZ854" s="71">
        <v>2473090.71</v>
      </c>
      <c r="CB854" s="71">
        <f>BZ854-D854</f>
        <v>-64345.290000000037</v>
      </c>
      <c r="CD854" s="20" t="e">
        <f t="shared" si="170"/>
        <v>#N/A</v>
      </c>
    </row>
    <row r="855" spans="1:82" ht="61.5" x14ac:dyDescent="0.85">
      <c r="A855" s="20">
        <v>1</v>
      </c>
      <c r="B855" s="66">
        <f>SUBTOTAL(103,$A$552:A855)</f>
        <v>284</v>
      </c>
      <c r="C855" s="24" t="s">
        <v>724</v>
      </c>
      <c r="D855" s="31">
        <f>E855+F855+G855+H855+I855+J855+L855+N855+P855+R855+T855+U855+V855+W855+X855+Y855+Z855+AA855+AB855+AC855+AD855+AE855</f>
        <v>2537436</v>
      </c>
      <c r="E855" s="31">
        <v>0</v>
      </c>
      <c r="F855" s="31">
        <v>0</v>
      </c>
      <c r="G855" s="31">
        <v>0</v>
      </c>
      <c r="H855" s="31">
        <v>0</v>
      </c>
      <c r="I855" s="31">
        <v>0</v>
      </c>
      <c r="J855" s="31">
        <v>0</v>
      </c>
      <c r="K855" s="33">
        <v>0</v>
      </c>
      <c r="L855" s="31">
        <v>0</v>
      </c>
      <c r="M855" s="31">
        <v>600</v>
      </c>
      <c r="N855" s="31">
        <v>2371858.13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1">
        <v>0</v>
      </c>
      <c r="X855" s="31">
        <v>0</v>
      </c>
      <c r="Y855" s="31">
        <v>0</v>
      </c>
      <c r="Z855" s="31">
        <v>0</v>
      </c>
      <c r="AA855" s="31">
        <v>0</v>
      </c>
      <c r="AB855" s="31">
        <v>0</v>
      </c>
      <c r="AC855" s="31">
        <f>ROUND(N855*1.5%,2)</f>
        <v>35577.870000000003</v>
      </c>
      <c r="AD855" s="31">
        <v>130000</v>
      </c>
      <c r="AE855" s="31">
        <v>0</v>
      </c>
      <c r="AF855" s="34">
        <v>2021</v>
      </c>
      <c r="AG855" s="34">
        <v>2021</v>
      </c>
      <c r="AH855" s="35">
        <v>2021</v>
      </c>
      <c r="AT855" s="20" t="e">
        <f t="shared" si="177"/>
        <v>#N/A</v>
      </c>
      <c r="BZ855" s="71"/>
      <c r="CD855" s="20" t="e">
        <f t="shared" si="170"/>
        <v>#N/A</v>
      </c>
    </row>
    <row r="856" spans="1:82" ht="61.5" x14ac:dyDescent="0.85">
      <c r="B856" s="24" t="s">
        <v>854</v>
      </c>
      <c r="C856" s="24"/>
      <c r="D856" s="31">
        <f t="shared" ref="D856:AE856" si="182">D857</f>
        <v>2968784.92</v>
      </c>
      <c r="E856" s="31">
        <f t="shared" si="182"/>
        <v>0</v>
      </c>
      <c r="F856" s="31">
        <f t="shared" si="182"/>
        <v>0</v>
      </c>
      <c r="G856" s="31">
        <f t="shared" si="182"/>
        <v>0</v>
      </c>
      <c r="H856" s="31">
        <f t="shared" si="182"/>
        <v>0</v>
      </c>
      <c r="I856" s="31">
        <f t="shared" si="182"/>
        <v>0</v>
      </c>
      <c r="J856" s="31">
        <f t="shared" si="182"/>
        <v>0</v>
      </c>
      <c r="K856" s="33">
        <f t="shared" si="182"/>
        <v>0</v>
      </c>
      <c r="L856" s="31">
        <f t="shared" si="182"/>
        <v>0</v>
      </c>
      <c r="M856" s="31">
        <f t="shared" si="182"/>
        <v>702</v>
      </c>
      <c r="N856" s="31">
        <f t="shared" si="182"/>
        <v>2796847.41</v>
      </c>
      <c r="O856" s="31">
        <f t="shared" si="182"/>
        <v>0</v>
      </c>
      <c r="P856" s="31">
        <f t="shared" si="182"/>
        <v>0</v>
      </c>
      <c r="Q856" s="31">
        <f t="shared" si="182"/>
        <v>0</v>
      </c>
      <c r="R856" s="31">
        <f t="shared" si="182"/>
        <v>0</v>
      </c>
      <c r="S856" s="31">
        <f t="shared" si="182"/>
        <v>0</v>
      </c>
      <c r="T856" s="31">
        <f t="shared" si="182"/>
        <v>0</v>
      </c>
      <c r="U856" s="31">
        <f t="shared" si="182"/>
        <v>0</v>
      </c>
      <c r="V856" s="31">
        <f t="shared" si="182"/>
        <v>0</v>
      </c>
      <c r="W856" s="31">
        <f t="shared" si="182"/>
        <v>0</v>
      </c>
      <c r="X856" s="31">
        <f t="shared" si="182"/>
        <v>0</v>
      </c>
      <c r="Y856" s="31">
        <f t="shared" si="182"/>
        <v>0</v>
      </c>
      <c r="Z856" s="31">
        <f t="shared" si="182"/>
        <v>0</v>
      </c>
      <c r="AA856" s="31">
        <f t="shared" si="182"/>
        <v>0</v>
      </c>
      <c r="AB856" s="31">
        <f t="shared" si="182"/>
        <v>0</v>
      </c>
      <c r="AC856" s="31">
        <f t="shared" si="182"/>
        <v>41952.71</v>
      </c>
      <c r="AD856" s="31">
        <f t="shared" si="182"/>
        <v>129984.8</v>
      </c>
      <c r="AE856" s="31">
        <f t="shared" si="182"/>
        <v>0</v>
      </c>
      <c r="AF856" s="72" t="s">
        <v>776</v>
      </c>
      <c r="AG856" s="72" t="s">
        <v>776</v>
      </c>
      <c r="AH856" s="88" t="s">
        <v>776</v>
      </c>
      <c r="AT856" s="20" t="e">
        <f t="shared" si="177"/>
        <v>#N/A</v>
      </c>
      <c r="BZ856" s="71">
        <v>2622646.19</v>
      </c>
      <c r="CB856" s="71">
        <f>BZ856-D856</f>
        <v>-346138.73</v>
      </c>
      <c r="CD856" s="20" t="e">
        <f t="shared" si="170"/>
        <v>#N/A</v>
      </c>
    </row>
    <row r="857" spans="1:82" ht="61.5" x14ac:dyDescent="0.85">
      <c r="A857" s="20">
        <v>1</v>
      </c>
      <c r="B857" s="66">
        <f>SUBTOTAL(103,$A$552:A857)</f>
        <v>285</v>
      </c>
      <c r="C857" s="24" t="s">
        <v>721</v>
      </c>
      <c r="D857" s="31">
        <f>E857+F857+G857+H857+I857+J857+L857+N857+P857+R857+T857+U857+V857+W857+X857+Y857+Z857+AA857+AB857+AC857+AD857+AE857</f>
        <v>2968784.92</v>
      </c>
      <c r="E857" s="31">
        <v>0</v>
      </c>
      <c r="F857" s="31">
        <v>0</v>
      </c>
      <c r="G857" s="31">
        <v>0</v>
      </c>
      <c r="H857" s="31">
        <v>0</v>
      </c>
      <c r="I857" s="31">
        <v>0</v>
      </c>
      <c r="J857" s="31">
        <v>0</v>
      </c>
      <c r="K857" s="33">
        <v>0</v>
      </c>
      <c r="L857" s="31">
        <v>0</v>
      </c>
      <c r="M857" s="31">
        <v>702</v>
      </c>
      <c r="N857" s="31">
        <v>2796847.41</v>
      </c>
      <c r="O857" s="31">
        <v>0</v>
      </c>
      <c r="P857" s="31">
        <v>0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f>ROUND(N857*1.5%,2)</f>
        <v>41952.71</v>
      </c>
      <c r="AD857" s="31">
        <f>130000.8-16</f>
        <v>129984.8</v>
      </c>
      <c r="AE857" s="31">
        <v>0</v>
      </c>
      <c r="AF857" s="34">
        <v>2021</v>
      </c>
      <c r="AG857" s="34">
        <v>2021</v>
      </c>
      <c r="AH857" s="35">
        <v>2021</v>
      </c>
      <c r="AT857" s="20" t="e">
        <f t="shared" si="177"/>
        <v>#N/A</v>
      </c>
      <c r="BZ857" s="71"/>
      <c r="CD857" s="20" t="e">
        <f t="shared" si="170"/>
        <v>#N/A</v>
      </c>
    </row>
    <row r="858" spans="1:82" ht="61.5" x14ac:dyDescent="0.85">
      <c r="B858" s="24" t="s">
        <v>856</v>
      </c>
      <c r="C858" s="129"/>
      <c r="D858" s="31">
        <f t="shared" ref="D858:AE858" si="183">SUM(D859:D866)</f>
        <v>30717231.84</v>
      </c>
      <c r="E858" s="31">
        <f t="shared" si="183"/>
        <v>0</v>
      </c>
      <c r="F858" s="31">
        <f t="shared" si="183"/>
        <v>0</v>
      </c>
      <c r="G858" s="31">
        <f t="shared" si="183"/>
        <v>0</v>
      </c>
      <c r="H858" s="31">
        <f t="shared" si="183"/>
        <v>0</v>
      </c>
      <c r="I858" s="31">
        <f t="shared" si="183"/>
        <v>0</v>
      </c>
      <c r="J858" s="31">
        <f t="shared" si="183"/>
        <v>0</v>
      </c>
      <c r="K858" s="33">
        <f t="shared" si="183"/>
        <v>0</v>
      </c>
      <c r="L858" s="31">
        <f t="shared" si="183"/>
        <v>0</v>
      </c>
      <c r="M858" s="31">
        <f t="shared" si="183"/>
        <v>5284.2199999999993</v>
      </c>
      <c r="N858" s="31">
        <f t="shared" si="183"/>
        <v>24100827.59</v>
      </c>
      <c r="O858" s="31">
        <f t="shared" si="183"/>
        <v>0</v>
      </c>
      <c r="P858" s="31">
        <f t="shared" si="183"/>
        <v>0</v>
      </c>
      <c r="Q858" s="31">
        <f t="shared" si="183"/>
        <v>0</v>
      </c>
      <c r="R858" s="31">
        <f t="shared" si="183"/>
        <v>0</v>
      </c>
      <c r="S858" s="31">
        <f t="shared" si="183"/>
        <v>0</v>
      </c>
      <c r="T858" s="31">
        <f t="shared" si="183"/>
        <v>0</v>
      </c>
      <c r="U858" s="31">
        <f t="shared" si="183"/>
        <v>4930927.92</v>
      </c>
      <c r="V858" s="31">
        <f t="shared" si="183"/>
        <v>0</v>
      </c>
      <c r="W858" s="31">
        <f t="shared" si="183"/>
        <v>0</v>
      </c>
      <c r="X858" s="31">
        <f t="shared" si="183"/>
        <v>0</v>
      </c>
      <c r="Y858" s="31">
        <f t="shared" si="183"/>
        <v>0</v>
      </c>
      <c r="Z858" s="31">
        <f t="shared" si="183"/>
        <v>0</v>
      </c>
      <c r="AA858" s="31">
        <f t="shared" si="183"/>
        <v>0</v>
      </c>
      <c r="AB858" s="31">
        <f t="shared" si="183"/>
        <v>0</v>
      </c>
      <c r="AC858" s="31">
        <f t="shared" si="183"/>
        <v>435476.32999999996</v>
      </c>
      <c r="AD858" s="31">
        <f t="shared" si="183"/>
        <v>1250000</v>
      </c>
      <c r="AE858" s="31">
        <f t="shared" si="183"/>
        <v>0</v>
      </c>
      <c r="AF858" s="72" t="s">
        <v>776</v>
      </c>
      <c r="AG858" s="72" t="s">
        <v>776</v>
      </c>
      <c r="AH858" s="88" t="s">
        <v>776</v>
      </c>
      <c r="AT858" s="20" t="e">
        <f t="shared" si="177"/>
        <v>#N/A</v>
      </c>
      <c r="BZ858" s="71">
        <v>29283340</v>
      </c>
      <c r="CD858" s="20" t="e">
        <f t="shared" si="170"/>
        <v>#N/A</v>
      </c>
    </row>
    <row r="859" spans="1:82" ht="61.5" x14ac:dyDescent="0.85">
      <c r="A859" s="20">
        <v>1</v>
      </c>
      <c r="B859" s="66">
        <f>SUBTOTAL(103,$A$552:A859)</f>
        <v>286</v>
      </c>
      <c r="C859" s="24" t="s">
        <v>124</v>
      </c>
      <c r="D859" s="31">
        <f t="shared" ref="D859:D866" si="184">E859+F859+G859+H859+I859+J859+L859+N859+P859+R859+T859+U859+V859+W859+X859+Y859+Z859+AA859+AB859+AC859+AD859+AE859</f>
        <v>3312500</v>
      </c>
      <c r="E859" s="31">
        <v>0</v>
      </c>
      <c r="F859" s="31">
        <v>0</v>
      </c>
      <c r="G859" s="31">
        <v>0</v>
      </c>
      <c r="H859" s="31">
        <v>0</v>
      </c>
      <c r="I859" s="31">
        <v>0</v>
      </c>
      <c r="J859" s="31">
        <v>0</v>
      </c>
      <c r="K859" s="33">
        <v>0</v>
      </c>
      <c r="L859" s="31">
        <v>0</v>
      </c>
      <c r="M859" s="31">
        <v>662.5</v>
      </c>
      <c r="N859" s="31">
        <v>3115763.55</v>
      </c>
      <c r="O859" s="31">
        <v>0</v>
      </c>
      <c r="P859" s="31">
        <v>0</v>
      </c>
      <c r="Q859" s="31">
        <v>0</v>
      </c>
      <c r="R859" s="31">
        <v>0</v>
      </c>
      <c r="S859" s="31">
        <v>0</v>
      </c>
      <c r="T859" s="31">
        <v>0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1">
        <f t="shared" ref="AC859:AC866" si="185">ROUND(N859*1.5%,2)</f>
        <v>46736.45</v>
      </c>
      <c r="AD859" s="31">
        <v>150000</v>
      </c>
      <c r="AE859" s="31">
        <v>0</v>
      </c>
      <c r="AF859" s="34">
        <v>2021</v>
      </c>
      <c r="AG859" s="34">
        <v>2021</v>
      </c>
      <c r="AH859" s="35">
        <v>2021</v>
      </c>
      <c r="AT859" s="20" t="e">
        <f t="shared" si="177"/>
        <v>#N/A</v>
      </c>
      <c r="BZ859" s="71"/>
      <c r="CD859" s="20" t="e">
        <f t="shared" si="170"/>
        <v>#N/A</v>
      </c>
    </row>
    <row r="860" spans="1:82" ht="61.5" x14ac:dyDescent="0.85">
      <c r="A860" s="20">
        <v>1</v>
      </c>
      <c r="B860" s="66">
        <f>SUBTOTAL(103,$A$552:A860)</f>
        <v>287</v>
      </c>
      <c r="C860" s="24" t="s">
        <v>129</v>
      </c>
      <c r="D860" s="31">
        <f t="shared" si="184"/>
        <v>5204891.84</v>
      </c>
      <c r="E860" s="31">
        <v>0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3">
        <v>0</v>
      </c>
      <c r="L860" s="31">
        <v>0</v>
      </c>
      <c r="M860" s="31">
        <v>0</v>
      </c>
      <c r="N860" s="31">
        <v>0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4930927.92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0</v>
      </c>
      <c r="AB860" s="31">
        <v>0</v>
      </c>
      <c r="AC860" s="31">
        <f>ROUND(U860*1.5%,2)</f>
        <v>73963.92</v>
      </c>
      <c r="AD860" s="31">
        <v>200000</v>
      </c>
      <c r="AE860" s="31">
        <v>0</v>
      </c>
      <c r="AF860" s="34">
        <v>2021</v>
      </c>
      <c r="AG860" s="34">
        <v>2021</v>
      </c>
      <c r="AH860" s="35">
        <v>2021</v>
      </c>
      <c r="AT860" s="20" t="e">
        <f t="shared" si="177"/>
        <v>#N/A</v>
      </c>
      <c r="BZ860" s="71"/>
      <c r="CD860" s="20" t="e">
        <f t="shared" si="170"/>
        <v>#N/A</v>
      </c>
    </row>
    <row r="861" spans="1:82" ht="61.5" x14ac:dyDescent="0.85">
      <c r="A861" s="20">
        <v>1</v>
      </c>
      <c r="B861" s="66">
        <f>SUBTOTAL(103,$A$552:A861)</f>
        <v>288</v>
      </c>
      <c r="C861" s="24" t="s">
        <v>127</v>
      </c>
      <c r="D861" s="31">
        <f t="shared" si="184"/>
        <v>4430000</v>
      </c>
      <c r="E861" s="31">
        <v>0</v>
      </c>
      <c r="F861" s="31">
        <v>0</v>
      </c>
      <c r="G861" s="31">
        <v>0</v>
      </c>
      <c r="H861" s="31">
        <v>0</v>
      </c>
      <c r="I861" s="31">
        <v>0</v>
      </c>
      <c r="J861" s="31">
        <v>0</v>
      </c>
      <c r="K861" s="33">
        <v>0</v>
      </c>
      <c r="L861" s="31">
        <v>0</v>
      </c>
      <c r="M861" s="31">
        <v>886</v>
      </c>
      <c r="N861" s="31">
        <v>4216748.7699999996</v>
      </c>
      <c r="O861" s="31">
        <v>0</v>
      </c>
      <c r="P861" s="31">
        <v>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1">
        <f t="shared" si="185"/>
        <v>63251.23</v>
      </c>
      <c r="AD861" s="31">
        <v>150000</v>
      </c>
      <c r="AE861" s="31">
        <v>0</v>
      </c>
      <c r="AF861" s="34">
        <v>2021</v>
      </c>
      <c r="AG861" s="34">
        <v>2021</v>
      </c>
      <c r="AH861" s="35">
        <v>2021</v>
      </c>
      <c r="AT861" s="20" t="e">
        <f t="shared" si="177"/>
        <v>#N/A</v>
      </c>
      <c r="BZ861" s="71"/>
      <c r="CD861" s="20" t="e">
        <f t="shared" si="170"/>
        <v>#N/A</v>
      </c>
    </row>
    <row r="862" spans="1:82" ht="61.5" x14ac:dyDescent="0.85">
      <c r="A862" s="20">
        <v>1</v>
      </c>
      <c r="B862" s="66">
        <f>SUBTOTAL(103,$A$552:A862)</f>
        <v>289</v>
      </c>
      <c r="C862" s="24" t="s">
        <v>130</v>
      </c>
      <c r="D862" s="31">
        <f t="shared" si="184"/>
        <v>3350000</v>
      </c>
      <c r="E862" s="31">
        <v>0</v>
      </c>
      <c r="F862" s="31">
        <v>0</v>
      </c>
      <c r="G862" s="31">
        <v>0</v>
      </c>
      <c r="H862" s="31">
        <v>0</v>
      </c>
      <c r="I862" s="31">
        <v>0</v>
      </c>
      <c r="J862" s="31">
        <v>0</v>
      </c>
      <c r="K862" s="33">
        <v>0</v>
      </c>
      <c r="L862" s="31">
        <v>0</v>
      </c>
      <c r="M862" s="31">
        <v>670</v>
      </c>
      <c r="N862" s="31">
        <v>3152709.36</v>
      </c>
      <c r="O862" s="31">
        <v>0</v>
      </c>
      <c r="P862" s="31">
        <v>0</v>
      </c>
      <c r="Q862" s="31">
        <v>0</v>
      </c>
      <c r="R862" s="31">
        <v>0</v>
      </c>
      <c r="S862" s="31">
        <v>0</v>
      </c>
      <c r="T862" s="31">
        <v>0</v>
      </c>
      <c r="U862" s="31">
        <v>0</v>
      </c>
      <c r="V862" s="31">
        <v>0</v>
      </c>
      <c r="W862" s="31">
        <v>0</v>
      </c>
      <c r="X862" s="31">
        <v>0</v>
      </c>
      <c r="Y862" s="31">
        <v>0</v>
      </c>
      <c r="Z862" s="31">
        <v>0</v>
      </c>
      <c r="AA862" s="31">
        <v>0</v>
      </c>
      <c r="AB862" s="31">
        <v>0</v>
      </c>
      <c r="AC862" s="31">
        <f t="shared" si="185"/>
        <v>47290.64</v>
      </c>
      <c r="AD862" s="31">
        <v>150000</v>
      </c>
      <c r="AE862" s="31">
        <v>0</v>
      </c>
      <c r="AF862" s="34">
        <v>2021</v>
      </c>
      <c r="AG862" s="34">
        <v>2021</v>
      </c>
      <c r="AH862" s="35">
        <v>2021</v>
      </c>
      <c r="AT862" s="20">
        <f t="shared" si="177"/>
        <v>1</v>
      </c>
      <c r="BZ862" s="71"/>
      <c r="CD862" s="20" t="e">
        <f t="shared" si="170"/>
        <v>#N/A</v>
      </c>
    </row>
    <row r="863" spans="1:82" ht="61.5" x14ac:dyDescent="0.85">
      <c r="A863" s="20">
        <v>1</v>
      </c>
      <c r="B863" s="66">
        <f>SUBTOTAL(103,$A$552:A863)</f>
        <v>290</v>
      </c>
      <c r="C863" s="24" t="s">
        <v>128</v>
      </c>
      <c r="D863" s="31">
        <f t="shared" si="184"/>
        <v>3080600</v>
      </c>
      <c r="E863" s="31">
        <v>0</v>
      </c>
      <c r="F863" s="31">
        <v>0</v>
      </c>
      <c r="G863" s="31">
        <v>0</v>
      </c>
      <c r="H863" s="31">
        <v>0</v>
      </c>
      <c r="I863" s="31">
        <v>0</v>
      </c>
      <c r="J863" s="31">
        <v>0</v>
      </c>
      <c r="K863" s="33">
        <v>0</v>
      </c>
      <c r="L863" s="31">
        <v>0</v>
      </c>
      <c r="M863" s="31">
        <v>616.12</v>
      </c>
      <c r="N863" s="31">
        <v>2887290.64</v>
      </c>
      <c r="O863" s="31">
        <v>0</v>
      </c>
      <c r="P863" s="31">
        <v>0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1">
        <f t="shared" si="185"/>
        <v>43309.36</v>
      </c>
      <c r="AD863" s="31">
        <v>150000</v>
      </c>
      <c r="AE863" s="31">
        <v>0</v>
      </c>
      <c r="AF863" s="34">
        <v>2021</v>
      </c>
      <c r="AG863" s="34">
        <v>2021</v>
      </c>
      <c r="AH863" s="35">
        <v>2021</v>
      </c>
      <c r="AT863" s="20" t="e">
        <f t="shared" si="177"/>
        <v>#N/A</v>
      </c>
      <c r="BZ863" s="71"/>
      <c r="CD863" s="20" t="e">
        <f t="shared" si="170"/>
        <v>#N/A</v>
      </c>
    </row>
    <row r="864" spans="1:82" ht="61.5" x14ac:dyDescent="0.85">
      <c r="A864" s="20">
        <v>1</v>
      </c>
      <c r="B864" s="66">
        <f>SUBTOTAL(103,$A$552:A864)</f>
        <v>291</v>
      </c>
      <c r="C864" s="24" t="s">
        <v>125</v>
      </c>
      <c r="D864" s="31">
        <f t="shared" si="184"/>
        <v>3404280</v>
      </c>
      <c r="E864" s="31">
        <v>0</v>
      </c>
      <c r="F864" s="31">
        <v>0</v>
      </c>
      <c r="G864" s="31">
        <v>0</v>
      </c>
      <c r="H864" s="31">
        <v>0</v>
      </c>
      <c r="I864" s="31">
        <v>0</v>
      </c>
      <c r="J864" s="31">
        <v>0</v>
      </c>
      <c r="K864" s="33">
        <v>0</v>
      </c>
      <c r="L864" s="31">
        <v>0</v>
      </c>
      <c r="M864" s="31">
        <v>773.7</v>
      </c>
      <c r="N864" s="31">
        <v>3206187.19</v>
      </c>
      <c r="O864" s="31">
        <v>0</v>
      </c>
      <c r="P864" s="31">
        <v>0</v>
      </c>
      <c r="Q864" s="31">
        <v>0</v>
      </c>
      <c r="R864" s="31">
        <v>0</v>
      </c>
      <c r="S864" s="31">
        <v>0</v>
      </c>
      <c r="T864" s="31">
        <v>0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0</v>
      </c>
      <c r="AA864" s="31">
        <v>0</v>
      </c>
      <c r="AB864" s="31">
        <v>0</v>
      </c>
      <c r="AC864" s="31">
        <f t="shared" si="185"/>
        <v>48092.81</v>
      </c>
      <c r="AD864" s="31">
        <v>150000</v>
      </c>
      <c r="AE864" s="31">
        <v>0</v>
      </c>
      <c r="AF864" s="34">
        <v>2021</v>
      </c>
      <c r="AG864" s="34">
        <v>2021</v>
      </c>
      <c r="AH864" s="35">
        <v>2021</v>
      </c>
      <c r="AT864" s="20" t="e">
        <f t="shared" si="177"/>
        <v>#N/A</v>
      </c>
      <c r="BZ864" s="71"/>
      <c r="CD864" s="20" t="e">
        <f t="shared" si="170"/>
        <v>#N/A</v>
      </c>
    </row>
    <row r="865" spans="1:82" ht="61.5" x14ac:dyDescent="0.85">
      <c r="A865" s="20">
        <v>1</v>
      </c>
      <c r="B865" s="66">
        <f>SUBTOTAL(103,$A$552:A865)</f>
        <v>292</v>
      </c>
      <c r="C865" s="24" t="s">
        <v>126</v>
      </c>
      <c r="D865" s="31">
        <f t="shared" si="184"/>
        <v>4675000</v>
      </c>
      <c r="E865" s="31">
        <v>0</v>
      </c>
      <c r="F865" s="31">
        <v>0</v>
      </c>
      <c r="G865" s="31">
        <v>0</v>
      </c>
      <c r="H865" s="31">
        <v>0</v>
      </c>
      <c r="I865" s="31">
        <v>0</v>
      </c>
      <c r="J865" s="31">
        <v>0</v>
      </c>
      <c r="K865" s="33">
        <v>0</v>
      </c>
      <c r="L865" s="31">
        <v>0</v>
      </c>
      <c r="M865" s="31">
        <v>935</v>
      </c>
      <c r="N865" s="31">
        <v>4458128.08</v>
      </c>
      <c r="O865" s="31">
        <v>0</v>
      </c>
      <c r="P865" s="31">
        <v>0</v>
      </c>
      <c r="Q865" s="31">
        <v>0</v>
      </c>
      <c r="R865" s="31">
        <v>0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f t="shared" si="185"/>
        <v>66871.92</v>
      </c>
      <c r="AD865" s="31">
        <v>150000</v>
      </c>
      <c r="AE865" s="31">
        <v>0</v>
      </c>
      <c r="AF865" s="34">
        <v>2021</v>
      </c>
      <c r="AG865" s="34">
        <v>2021</v>
      </c>
      <c r="AH865" s="35">
        <v>2021</v>
      </c>
      <c r="AT865" s="20" t="e">
        <f t="shared" si="177"/>
        <v>#N/A</v>
      </c>
      <c r="BZ865" s="71"/>
      <c r="CD865" s="20" t="e">
        <f t="shared" si="170"/>
        <v>#N/A</v>
      </c>
    </row>
    <row r="866" spans="1:82" ht="61.5" x14ac:dyDescent="0.85">
      <c r="A866" s="20">
        <v>1</v>
      </c>
      <c r="B866" s="66">
        <f>SUBTOTAL(103,$A$552:A866)</f>
        <v>293</v>
      </c>
      <c r="C866" s="24" t="s">
        <v>131</v>
      </c>
      <c r="D866" s="31">
        <f t="shared" si="184"/>
        <v>3259960</v>
      </c>
      <c r="E866" s="31">
        <v>0</v>
      </c>
      <c r="F866" s="31">
        <v>0</v>
      </c>
      <c r="G866" s="31">
        <v>0</v>
      </c>
      <c r="H866" s="31">
        <v>0</v>
      </c>
      <c r="I866" s="31">
        <v>0</v>
      </c>
      <c r="J866" s="31">
        <v>0</v>
      </c>
      <c r="K866" s="33">
        <v>0</v>
      </c>
      <c r="L866" s="31">
        <v>0</v>
      </c>
      <c r="M866" s="31">
        <v>740.9</v>
      </c>
      <c r="N866" s="31">
        <v>3064000</v>
      </c>
      <c r="O866" s="31">
        <v>0</v>
      </c>
      <c r="P866" s="31">
        <v>0</v>
      </c>
      <c r="Q866" s="31">
        <v>0</v>
      </c>
      <c r="R866" s="31">
        <v>0</v>
      </c>
      <c r="S866" s="31">
        <v>0</v>
      </c>
      <c r="T866" s="31">
        <v>0</v>
      </c>
      <c r="U866" s="31">
        <v>0</v>
      </c>
      <c r="V866" s="31">
        <v>0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  <c r="AC866" s="31">
        <f t="shared" si="185"/>
        <v>45960</v>
      </c>
      <c r="AD866" s="31">
        <v>150000</v>
      </c>
      <c r="AE866" s="31">
        <v>0</v>
      </c>
      <c r="AF866" s="34">
        <v>2021</v>
      </c>
      <c r="AG866" s="34">
        <v>2021</v>
      </c>
      <c r="AH866" s="35">
        <v>2021</v>
      </c>
      <c r="AT866" s="20" t="e">
        <f t="shared" si="177"/>
        <v>#N/A</v>
      </c>
      <c r="BZ866" s="71"/>
      <c r="CD866" s="20" t="e">
        <f t="shared" si="170"/>
        <v>#N/A</v>
      </c>
    </row>
    <row r="867" spans="1:82" ht="61.5" x14ac:dyDescent="0.85">
      <c r="B867" s="24" t="s">
        <v>861</v>
      </c>
      <c r="C867" s="129"/>
      <c r="D867" s="31">
        <f t="shared" ref="D867:AE867" si="186">D868</f>
        <v>3328825.5</v>
      </c>
      <c r="E867" s="31">
        <f t="shared" si="186"/>
        <v>0</v>
      </c>
      <c r="F867" s="31">
        <f t="shared" si="186"/>
        <v>0</v>
      </c>
      <c r="G867" s="31">
        <f t="shared" si="186"/>
        <v>0</v>
      </c>
      <c r="H867" s="31">
        <f t="shared" si="186"/>
        <v>0</v>
      </c>
      <c r="I867" s="31">
        <f t="shared" si="186"/>
        <v>0</v>
      </c>
      <c r="J867" s="31">
        <f t="shared" si="186"/>
        <v>0</v>
      </c>
      <c r="K867" s="33">
        <f t="shared" si="186"/>
        <v>0</v>
      </c>
      <c r="L867" s="31">
        <f t="shared" si="186"/>
        <v>0</v>
      </c>
      <c r="M867" s="31">
        <f t="shared" si="186"/>
        <v>650</v>
      </c>
      <c r="N867" s="31">
        <f t="shared" si="186"/>
        <v>3131847.78</v>
      </c>
      <c r="O867" s="31">
        <f t="shared" si="186"/>
        <v>0</v>
      </c>
      <c r="P867" s="31">
        <f t="shared" si="186"/>
        <v>0</v>
      </c>
      <c r="Q867" s="31">
        <f t="shared" si="186"/>
        <v>0</v>
      </c>
      <c r="R867" s="31">
        <f t="shared" si="186"/>
        <v>0</v>
      </c>
      <c r="S867" s="31">
        <f t="shared" si="186"/>
        <v>0</v>
      </c>
      <c r="T867" s="31">
        <f t="shared" si="186"/>
        <v>0</v>
      </c>
      <c r="U867" s="31">
        <f t="shared" si="186"/>
        <v>0</v>
      </c>
      <c r="V867" s="31">
        <f t="shared" si="186"/>
        <v>0</v>
      </c>
      <c r="W867" s="31">
        <f t="shared" si="186"/>
        <v>0</v>
      </c>
      <c r="X867" s="31">
        <f t="shared" si="186"/>
        <v>0</v>
      </c>
      <c r="Y867" s="31">
        <f t="shared" si="186"/>
        <v>0</v>
      </c>
      <c r="Z867" s="31">
        <f t="shared" si="186"/>
        <v>0</v>
      </c>
      <c r="AA867" s="31">
        <f t="shared" si="186"/>
        <v>0</v>
      </c>
      <c r="AB867" s="31">
        <f t="shared" si="186"/>
        <v>0</v>
      </c>
      <c r="AC867" s="31">
        <f t="shared" si="186"/>
        <v>46977.72</v>
      </c>
      <c r="AD867" s="31">
        <f t="shared" si="186"/>
        <v>150000</v>
      </c>
      <c r="AE867" s="31">
        <f t="shared" si="186"/>
        <v>0</v>
      </c>
      <c r="AF867" s="72" t="s">
        <v>776</v>
      </c>
      <c r="AG867" s="72" t="s">
        <v>776</v>
      </c>
      <c r="AH867" s="88" t="s">
        <v>776</v>
      </c>
      <c r="AT867" s="20" t="e">
        <f t="shared" si="177"/>
        <v>#N/A</v>
      </c>
      <c r="BZ867" s="71">
        <v>3328825.5</v>
      </c>
      <c r="CD867" s="20" t="e">
        <f t="shared" si="170"/>
        <v>#N/A</v>
      </c>
    </row>
    <row r="868" spans="1:82" ht="61.5" x14ac:dyDescent="0.85">
      <c r="A868" s="20">
        <v>1</v>
      </c>
      <c r="B868" s="66">
        <f>SUBTOTAL(103,$A$552:A868)</f>
        <v>294</v>
      </c>
      <c r="C868" s="24" t="s">
        <v>180</v>
      </c>
      <c r="D868" s="31">
        <f>E868+F868+G868+H868+I868+J868+L868+N868+P868+R868+T868+U868+V868+W868+X868+Y868+Z868+AA868+AB868+AC868+AD868+AE868</f>
        <v>3328825.5</v>
      </c>
      <c r="E868" s="31">
        <v>0</v>
      </c>
      <c r="F868" s="31">
        <v>0</v>
      </c>
      <c r="G868" s="31">
        <v>0</v>
      </c>
      <c r="H868" s="31">
        <v>0</v>
      </c>
      <c r="I868" s="31">
        <v>0</v>
      </c>
      <c r="J868" s="31">
        <v>0</v>
      </c>
      <c r="K868" s="33">
        <v>0</v>
      </c>
      <c r="L868" s="31">
        <v>0</v>
      </c>
      <c r="M868" s="31">
        <v>650</v>
      </c>
      <c r="N868" s="31">
        <v>3131847.78</v>
      </c>
      <c r="O868" s="31">
        <v>0</v>
      </c>
      <c r="P868" s="31">
        <v>0</v>
      </c>
      <c r="Q868" s="31">
        <v>0</v>
      </c>
      <c r="R868" s="31">
        <v>0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f>ROUND(N868*1.5%,2)</f>
        <v>46977.72</v>
      </c>
      <c r="AD868" s="31">
        <v>150000</v>
      </c>
      <c r="AE868" s="31">
        <v>0</v>
      </c>
      <c r="AF868" s="34">
        <v>2021</v>
      </c>
      <c r="AG868" s="34">
        <v>2021</v>
      </c>
      <c r="AH868" s="35">
        <v>2021</v>
      </c>
      <c r="AT868" s="20" t="e">
        <f t="shared" si="177"/>
        <v>#N/A</v>
      </c>
      <c r="BZ868" s="71"/>
      <c r="CD868" s="20" t="e">
        <f t="shared" si="170"/>
        <v>#N/A</v>
      </c>
    </row>
    <row r="869" spans="1:82" ht="61.5" x14ac:dyDescent="0.85">
      <c r="B869" s="24" t="s">
        <v>860</v>
      </c>
      <c r="C869" s="24"/>
      <c r="D869" s="31">
        <f t="shared" ref="D869:AE869" si="187">D870+D871</f>
        <v>5279138.41</v>
      </c>
      <c r="E869" s="31">
        <f t="shared" si="187"/>
        <v>0</v>
      </c>
      <c r="F869" s="31">
        <f t="shared" si="187"/>
        <v>0</v>
      </c>
      <c r="G869" s="31">
        <f t="shared" si="187"/>
        <v>0</v>
      </c>
      <c r="H869" s="31">
        <f t="shared" si="187"/>
        <v>0</v>
      </c>
      <c r="I869" s="31">
        <f t="shared" si="187"/>
        <v>0</v>
      </c>
      <c r="J869" s="31">
        <f t="shared" si="187"/>
        <v>0</v>
      </c>
      <c r="K869" s="33">
        <f t="shared" si="187"/>
        <v>0</v>
      </c>
      <c r="L869" s="31">
        <f t="shared" si="187"/>
        <v>0</v>
      </c>
      <c r="M869" s="31">
        <f t="shared" si="187"/>
        <v>0</v>
      </c>
      <c r="N869" s="31">
        <f t="shared" si="187"/>
        <v>0</v>
      </c>
      <c r="O869" s="31">
        <f t="shared" si="187"/>
        <v>0</v>
      </c>
      <c r="P869" s="31">
        <f t="shared" si="187"/>
        <v>0</v>
      </c>
      <c r="Q869" s="31">
        <f t="shared" si="187"/>
        <v>884.5</v>
      </c>
      <c r="R869" s="31">
        <f t="shared" si="187"/>
        <v>4944963.95</v>
      </c>
      <c r="S869" s="31">
        <f t="shared" si="187"/>
        <v>0</v>
      </c>
      <c r="T869" s="31">
        <f t="shared" si="187"/>
        <v>0</v>
      </c>
      <c r="U869" s="31">
        <f t="shared" si="187"/>
        <v>0</v>
      </c>
      <c r="V869" s="31">
        <f t="shared" si="187"/>
        <v>0</v>
      </c>
      <c r="W869" s="31">
        <f t="shared" si="187"/>
        <v>0</v>
      </c>
      <c r="X869" s="31">
        <f t="shared" si="187"/>
        <v>0</v>
      </c>
      <c r="Y869" s="31">
        <f t="shared" si="187"/>
        <v>0</v>
      </c>
      <c r="Z869" s="31">
        <f t="shared" si="187"/>
        <v>0</v>
      </c>
      <c r="AA869" s="31">
        <f t="shared" si="187"/>
        <v>0</v>
      </c>
      <c r="AB869" s="31">
        <f t="shared" si="187"/>
        <v>0</v>
      </c>
      <c r="AC869" s="31">
        <f t="shared" si="187"/>
        <v>74174.459999999992</v>
      </c>
      <c r="AD869" s="31">
        <f t="shared" si="187"/>
        <v>260000</v>
      </c>
      <c r="AE869" s="31">
        <f t="shared" si="187"/>
        <v>0</v>
      </c>
      <c r="AF869" s="72" t="s">
        <v>776</v>
      </c>
      <c r="AG869" s="72" t="s">
        <v>776</v>
      </c>
      <c r="AH869" s="88" t="s">
        <v>776</v>
      </c>
      <c r="AT869" s="20" t="e">
        <f t="shared" si="177"/>
        <v>#N/A</v>
      </c>
      <c r="BZ869" s="71">
        <v>5279138.41</v>
      </c>
      <c r="CD869" s="20" t="e">
        <f t="shared" si="170"/>
        <v>#N/A</v>
      </c>
    </row>
    <row r="870" spans="1:82" ht="61.5" x14ac:dyDescent="0.85">
      <c r="A870" s="20">
        <v>1</v>
      </c>
      <c r="B870" s="66">
        <f>SUBTOTAL(103,$A$552:A870)</f>
        <v>295</v>
      </c>
      <c r="C870" s="24" t="s">
        <v>178</v>
      </c>
      <c r="D870" s="31">
        <f>E870+F870+G870+H870+I870+J870+L870+N870+P870+R870+T870+U870+V870+W870+X870+Y870+Z870+AA870+AB870+AC870+AD870+AE870</f>
        <v>2721526.66</v>
      </c>
      <c r="E870" s="31">
        <v>0</v>
      </c>
      <c r="F870" s="31">
        <v>0</v>
      </c>
      <c r="G870" s="31">
        <v>0</v>
      </c>
      <c r="H870" s="31">
        <v>0</v>
      </c>
      <c r="I870" s="31">
        <v>0</v>
      </c>
      <c r="J870" s="31">
        <v>0</v>
      </c>
      <c r="K870" s="33">
        <v>0</v>
      </c>
      <c r="L870" s="31">
        <v>0</v>
      </c>
      <c r="M870" s="31">
        <v>0</v>
      </c>
      <c r="N870" s="31">
        <v>0</v>
      </c>
      <c r="O870" s="31">
        <v>0</v>
      </c>
      <c r="P870" s="31">
        <v>0</v>
      </c>
      <c r="Q870" s="31">
        <v>459</v>
      </c>
      <c r="R870" s="31">
        <v>2553228.2400000002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f>ROUND(R870*1.5%,2)</f>
        <v>38298.42</v>
      </c>
      <c r="AD870" s="31">
        <v>130000</v>
      </c>
      <c r="AE870" s="31">
        <v>0</v>
      </c>
      <c r="AF870" s="34">
        <v>2021</v>
      </c>
      <c r="AG870" s="34">
        <v>2021</v>
      </c>
      <c r="AH870" s="35">
        <v>2021</v>
      </c>
      <c r="AT870" s="20" t="e">
        <f t="shared" si="177"/>
        <v>#N/A</v>
      </c>
      <c r="BZ870" s="71"/>
      <c r="CD870" s="20" t="e">
        <f t="shared" si="170"/>
        <v>#N/A</v>
      </c>
    </row>
    <row r="871" spans="1:82" ht="61.5" x14ac:dyDescent="0.85">
      <c r="A871" s="20">
        <v>1</v>
      </c>
      <c r="B871" s="66">
        <f>SUBTOTAL(103,$A$552:A871)</f>
        <v>296</v>
      </c>
      <c r="C871" s="24" t="s">
        <v>179</v>
      </c>
      <c r="D871" s="31">
        <f>E871+F871+G871+H871+I871+J871+L871+N871+P871+R871+T871+U871+V871+W871+X871+Y871+Z871+AA871+AB871+AC871+AD871+AE871</f>
        <v>2557611.75</v>
      </c>
      <c r="E871" s="31">
        <v>0</v>
      </c>
      <c r="F871" s="31">
        <v>0</v>
      </c>
      <c r="G871" s="31">
        <v>0</v>
      </c>
      <c r="H871" s="31">
        <v>0</v>
      </c>
      <c r="I871" s="31">
        <v>0</v>
      </c>
      <c r="J871" s="31">
        <v>0</v>
      </c>
      <c r="K871" s="33">
        <v>0</v>
      </c>
      <c r="L871" s="31">
        <v>0</v>
      </c>
      <c r="M871" s="31">
        <v>0</v>
      </c>
      <c r="N871" s="31">
        <v>0</v>
      </c>
      <c r="O871" s="31">
        <v>0</v>
      </c>
      <c r="P871" s="31">
        <v>0</v>
      </c>
      <c r="Q871" s="31">
        <v>425.5</v>
      </c>
      <c r="R871" s="31">
        <v>2391735.71</v>
      </c>
      <c r="S871" s="31">
        <v>0</v>
      </c>
      <c r="T871" s="31">
        <v>0</v>
      </c>
      <c r="U871" s="31">
        <v>0</v>
      </c>
      <c r="V871" s="31">
        <v>0</v>
      </c>
      <c r="W871" s="31">
        <v>0</v>
      </c>
      <c r="X871" s="31">
        <v>0</v>
      </c>
      <c r="Y871" s="31">
        <v>0</v>
      </c>
      <c r="Z871" s="31">
        <v>0</v>
      </c>
      <c r="AA871" s="31">
        <v>0</v>
      </c>
      <c r="AB871" s="31">
        <v>0</v>
      </c>
      <c r="AC871" s="31">
        <f>ROUND(R871*1.5%,2)</f>
        <v>35876.04</v>
      </c>
      <c r="AD871" s="31">
        <v>130000</v>
      </c>
      <c r="AE871" s="31">
        <v>0</v>
      </c>
      <c r="AF871" s="34">
        <v>2021</v>
      </c>
      <c r="AG871" s="34">
        <v>2021</v>
      </c>
      <c r="AH871" s="35">
        <v>2021</v>
      </c>
      <c r="AT871" s="20" t="e">
        <f t="shared" si="177"/>
        <v>#N/A</v>
      </c>
      <c r="BZ871" s="71"/>
      <c r="CD871" s="20" t="e">
        <f t="shared" si="170"/>
        <v>#N/A</v>
      </c>
    </row>
    <row r="872" spans="1:82" ht="61.5" x14ac:dyDescent="0.85">
      <c r="B872" s="24" t="s">
        <v>896</v>
      </c>
      <c r="C872" s="24"/>
      <c r="D872" s="31">
        <f t="shared" ref="D872:AE872" si="188">D873</f>
        <v>4178956.32</v>
      </c>
      <c r="E872" s="31">
        <f t="shared" si="188"/>
        <v>0</v>
      </c>
      <c r="F872" s="31">
        <f t="shared" si="188"/>
        <v>0</v>
      </c>
      <c r="G872" s="31">
        <f t="shared" si="188"/>
        <v>0</v>
      </c>
      <c r="H872" s="31">
        <f t="shared" si="188"/>
        <v>0</v>
      </c>
      <c r="I872" s="31">
        <f t="shared" si="188"/>
        <v>0</v>
      </c>
      <c r="J872" s="31">
        <f t="shared" si="188"/>
        <v>0</v>
      </c>
      <c r="K872" s="33">
        <f t="shared" si="188"/>
        <v>0</v>
      </c>
      <c r="L872" s="31">
        <f t="shared" si="188"/>
        <v>0</v>
      </c>
      <c r="M872" s="31">
        <f t="shared" si="188"/>
        <v>816</v>
      </c>
      <c r="N872" s="31">
        <f t="shared" si="188"/>
        <v>3969415.09</v>
      </c>
      <c r="O872" s="31">
        <f t="shared" si="188"/>
        <v>0</v>
      </c>
      <c r="P872" s="31">
        <f t="shared" si="188"/>
        <v>0</v>
      </c>
      <c r="Q872" s="31">
        <f t="shared" si="188"/>
        <v>0</v>
      </c>
      <c r="R872" s="31">
        <f t="shared" si="188"/>
        <v>0</v>
      </c>
      <c r="S872" s="31">
        <f t="shared" si="188"/>
        <v>0</v>
      </c>
      <c r="T872" s="31">
        <f t="shared" si="188"/>
        <v>0</v>
      </c>
      <c r="U872" s="31">
        <f t="shared" si="188"/>
        <v>0</v>
      </c>
      <c r="V872" s="31">
        <f t="shared" si="188"/>
        <v>0</v>
      </c>
      <c r="W872" s="31">
        <f t="shared" si="188"/>
        <v>0</v>
      </c>
      <c r="X872" s="31">
        <f t="shared" si="188"/>
        <v>0</v>
      </c>
      <c r="Y872" s="31">
        <f t="shared" si="188"/>
        <v>0</v>
      </c>
      <c r="Z872" s="31">
        <f t="shared" si="188"/>
        <v>0</v>
      </c>
      <c r="AA872" s="31">
        <f t="shared" si="188"/>
        <v>0</v>
      </c>
      <c r="AB872" s="31">
        <f t="shared" si="188"/>
        <v>0</v>
      </c>
      <c r="AC872" s="31">
        <f t="shared" si="188"/>
        <v>59541.23</v>
      </c>
      <c r="AD872" s="31">
        <f t="shared" si="188"/>
        <v>150000</v>
      </c>
      <c r="AE872" s="31">
        <f t="shared" si="188"/>
        <v>0</v>
      </c>
      <c r="AF872" s="72" t="s">
        <v>776</v>
      </c>
      <c r="AG872" s="72" t="s">
        <v>776</v>
      </c>
      <c r="AH872" s="88" t="s">
        <v>776</v>
      </c>
      <c r="AT872" s="20" t="e">
        <f t="shared" si="177"/>
        <v>#N/A</v>
      </c>
      <c r="BZ872" s="71">
        <v>4178956.32</v>
      </c>
      <c r="CD872" s="20" t="e">
        <f t="shared" si="170"/>
        <v>#N/A</v>
      </c>
    </row>
    <row r="873" spans="1:82" ht="61.5" x14ac:dyDescent="0.85">
      <c r="A873" s="20">
        <v>1</v>
      </c>
      <c r="B873" s="66">
        <f>SUBTOTAL(103,$A$552:A873)</f>
        <v>297</v>
      </c>
      <c r="C873" s="24" t="s">
        <v>177</v>
      </c>
      <c r="D873" s="31">
        <f>E873+F873+G873+H873+I873+J873+L873+N873+P873+R873+T873+U873+V873+W873+X873+Y873+Z873+AA873+AB873+AC873+AD873+AE873</f>
        <v>4178956.32</v>
      </c>
      <c r="E873" s="31">
        <v>0</v>
      </c>
      <c r="F873" s="31">
        <v>0</v>
      </c>
      <c r="G873" s="31">
        <v>0</v>
      </c>
      <c r="H873" s="31">
        <v>0</v>
      </c>
      <c r="I873" s="31">
        <v>0</v>
      </c>
      <c r="J873" s="31">
        <v>0</v>
      </c>
      <c r="K873" s="33">
        <v>0</v>
      </c>
      <c r="L873" s="31">
        <v>0</v>
      </c>
      <c r="M873" s="31">
        <v>816</v>
      </c>
      <c r="N873" s="31">
        <v>3969415.09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31">
        <v>0</v>
      </c>
      <c r="U873" s="31">
        <v>0</v>
      </c>
      <c r="V873" s="31">
        <v>0</v>
      </c>
      <c r="W873" s="31">
        <v>0</v>
      </c>
      <c r="X873" s="31">
        <v>0</v>
      </c>
      <c r="Y873" s="31">
        <v>0</v>
      </c>
      <c r="Z873" s="31">
        <v>0</v>
      </c>
      <c r="AA873" s="31">
        <v>0</v>
      </c>
      <c r="AB873" s="31">
        <v>0</v>
      </c>
      <c r="AC873" s="31">
        <f>ROUND(N873*1.5%,2)</f>
        <v>59541.23</v>
      </c>
      <c r="AD873" s="31">
        <v>150000</v>
      </c>
      <c r="AE873" s="31">
        <v>0</v>
      </c>
      <c r="AF873" s="34">
        <v>2021</v>
      </c>
      <c r="AG873" s="34">
        <v>2021</v>
      </c>
      <c r="AH873" s="35">
        <v>2021</v>
      </c>
      <c r="AT873" s="20" t="e">
        <f t="shared" si="177"/>
        <v>#N/A</v>
      </c>
      <c r="BZ873" s="71"/>
      <c r="CD873" s="20" t="e">
        <f t="shared" si="170"/>
        <v>#N/A</v>
      </c>
    </row>
    <row r="874" spans="1:82" ht="61.5" x14ac:dyDescent="0.85">
      <c r="B874" s="24" t="s">
        <v>862</v>
      </c>
      <c r="C874" s="24"/>
      <c r="D874" s="31">
        <f t="shared" ref="D874:AE874" si="189">D875</f>
        <v>1889236.5</v>
      </c>
      <c r="E874" s="31">
        <f t="shared" si="189"/>
        <v>0</v>
      </c>
      <c r="F874" s="31">
        <f t="shared" si="189"/>
        <v>0</v>
      </c>
      <c r="G874" s="31">
        <f t="shared" si="189"/>
        <v>0</v>
      </c>
      <c r="H874" s="31">
        <f t="shared" si="189"/>
        <v>0</v>
      </c>
      <c r="I874" s="31">
        <f t="shared" si="189"/>
        <v>0</v>
      </c>
      <c r="J874" s="31">
        <f t="shared" si="189"/>
        <v>0</v>
      </c>
      <c r="K874" s="33">
        <f t="shared" si="189"/>
        <v>0</v>
      </c>
      <c r="L874" s="31">
        <f t="shared" si="189"/>
        <v>0</v>
      </c>
      <c r="M874" s="31">
        <f t="shared" si="189"/>
        <v>368.9</v>
      </c>
      <c r="N874" s="31">
        <f t="shared" si="189"/>
        <v>1743090.15</v>
      </c>
      <c r="O874" s="31">
        <f t="shared" si="189"/>
        <v>0</v>
      </c>
      <c r="P874" s="31">
        <f t="shared" si="189"/>
        <v>0</v>
      </c>
      <c r="Q874" s="31">
        <f t="shared" si="189"/>
        <v>0</v>
      </c>
      <c r="R874" s="31">
        <f t="shared" si="189"/>
        <v>0</v>
      </c>
      <c r="S874" s="31">
        <f t="shared" si="189"/>
        <v>0</v>
      </c>
      <c r="T874" s="31">
        <f t="shared" si="189"/>
        <v>0</v>
      </c>
      <c r="U874" s="31">
        <f t="shared" si="189"/>
        <v>0</v>
      </c>
      <c r="V874" s="31">
        <f t="shared" si="189"/>
        <v>0</v>
      </c>
      <c r="W874" s="31">
        <f t="shared" si="189"/>
        <v>0</v>
      </c>
      <c r="X874" s="31">
        <f t="shared" si="189"/>
        <v>0</v>
      </c>
      <c r="Y874" s="31">
        <f t="shared" si="189"/>
        <v>0</v>
      </c>
      <c r="Z874" s="31">
        <f t="shared" si="189"/>
        <v>0</v>
      </c>
      <c r="AA874" s="31">
        <f t="shared" si="189"/>
        <v>0</v>
      </c>
      <c r="AB874" s="31">
        <f t="shared" si="189"/>
        <v>0</v>
      </c>
      <c r="AC874" s="31">
        <f t="shared" si="189"/>
        <v>26146.35</v>
      </c>
      <c r="AD874" s="31">
        <f t="shared" si="189"/>
        <v>120000</v>
      </c>
      <c r="AE874" s="31">
        <f t="shared" si="189"/>
        <v>0</v>
      </c>
      <c r="AF874" s="72" t="s">
        <v>776</v>
      </c>
      <c r="AG874" s="72" t="s">
        <v>776</v>
      </c>
      <c r="AH874" s="88" t="s">
        <v>776</v>
      </c>
      <c r="AT874" s="20" t="e">
        <f t="shared" si="177"/>
        <v>#N/A</v>
      </c>
      <c r="BZ874" s="71">
        <v>1889236.5</v>
      </c>
      <c r="CD874" s="20" t="e">
        <f t="shared" si="170"/>
        <v>#N/A</v>
      </c>
    </row>
    <row r="875" spans="1:82" ht="61.5" x14ac:dyDescent="0.85">
      <c r="A875" s="20">
        <v>1</v>
      </c>
      <c r="B875" s="66">
        <f>SUBTOTAL(103,$A$552:A875)</f>
        <v>298</v>
      </c>
      <c r="C875" s="24" t="s">
        <v>176</v>
      </c>
      <c r="D875" s="31">
        <f>E875+F875+G875+H875+I875+J875+L875+N875+P875+R875+T875+U875+V875+W875+X875+Y875+Z875+AA875+AB875+AC875+AD875+AE875</f>
        <v>1889236.5</v>
      </c>
      <c r="E875" s="31">
        <v>0</v>
      </c>
      <c r="F875" s="31">
        <v>0</v>
      </c>
      <c r="G875" s="31">
        <v>0</v>
      </c>
      <c r="H875" s="31">
        <v>0</v>
      </c>
      <c r="I875" s="31">
        <v>0</v>
      </c>
      <c r="J875" s="31">
        <v>0</v>
      </c>
      <c r="K875" s="33">
        <v>0</v>
      </c>
      <c r="L875" s="31">
        <v>0</v>
      </c>
      <c r="M875" s="31">
        <v>368.9</v>
      </c>
      <c r="N875" s="31">
        <v>1743090.15</v>
      </c>
      <c r="O875" s="31">
        <v>0</v>
      </c>
      <c r="P875" s="31">
        <v>0</v>
      </c>
      <c r="Q875" s="31">
        <v>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1">
        <f>ROUND(N875*1.5%,2)</f>
        <v>26146.35</v>
      </c>
      <c r="AD875" s="31">
        <v>120000</v>
      </c>
      <c r="AE875" s="31">
        <v>0</v>
      </c>
      <c r="AF875" s="34">
        <v>2021</v>
      </c>
      <c r="AG875" s="34">
        <v>2021</v>
      </c>
      <c r="AH875" s="35">
        <v>2021</v>
      </c>
      <c r="AT875" s="20" t="e">
        <f t="shared" si="177"/>
        <v>#N/A</v>
      </c>
      <c r="BZ875" s="71"/>
      <c r="CD875" s="20" t="e">
        <f t="shared" si="170"/>
        <v>#N/A</v>
      </c>
    </row>
    <row r="876" spans="1:82" ht="61.5" x14ac:dyDescent="0.85">
      <c r="B876" s="24" t="s">
        <v>863</v>
      </c>
      <c r="C876" s="129"/>
      <c r="D876" s="31">
        <f t="shared" ref="D876:AE876" si="190">SUM(D877:D881)</f>
        <v>14950249.880000001</v>
      </c>
      <c r="E876" s="31">
        <f t="shared" si="190"/>
        <v>0</v>
      </c>
      <c r="F876" s="31">
        <f t="shared" si="190"/>
        <v>0</v>
      </c>
      <c r="G876" s="31">
        <f t="shared" si="190"/>
        <v>0</v>
      </c>
      <c r="H876" s="31">
        <f t="shared" si="190"/>
        <v>0</v>
      </c>
      <c r="I876" s="31">
        <f t="shared" si="190"/>
        <v>0</v>
      </c>
      <c r="J876" s="31">
        <f t="shared" si="190"/>
        <v>0</v>
      </c>
      <c r="K876" s="33">
        <f t="shared" si="190"/>
        <v>0</v>
      </c>
      <c r="L876" s="31">
        <f t="shared" si="190"/>
        <v>0</v>
      </c>
      <c r="M876" s="31">
        <f t="shared" si="190"/>
        <v>2563.29</v>
      </c>
      <c r="N876" s="31">
        <f t="shared" si="190"/>
        <v>14079063.92</v>
      </c>
      <c r="O876" s="31">
        <f t="shared" si="190"/>
        <v>0</v>
      </c>
      <c r="P876" s="31">
        <f t="shared" si="190"/>
        <v>0</v>
      </c>
      <c r="Q876" s="31">
        <f t="shared" si="190"/>
        <v>0</v>
      </c>
      <c r="R876" s="31">
        <f t="shared" si="190"/>
        <v>0</v>
      </c>
      <c r="S876" s="31">
        <f t="shared" si="190"/>
        <v>0</v>
      </c>
      <c r="T876" s="31">
        <f t="shared" si="190"/>
        <v>0</v>
      </c>
      <c r="U876" s="31">
        <f t="shared" si="190"/>
        <v>0</v>
      </c>
      <c r="V876" s="31">
        <f t="shared" si="190"/>
        <v>0</v>
      </c>
      <c r="W876" s="31">
        <f t="shared" si="190"/>
        <v>0</v>
      </c>
      <c r="X876" s="31">
        <f t="shared" si="190"/>
        <v>0</v>
      </c>
      <c r="Y876" s="31">
        <f t="shared" si="190"/>
        <v>0</v>
      </c>
      <c r="Z876" s="31">
        <f t="shared" si="190"/>
        <v>0</v>
      </c>
      <c r="AA876" s="31">
        <f t="shared" si="190"/>
        <v>0</v>
      </c>
      <c r="AB876" s="31">
        <f t="shared" si="190"/>
        <v>0</v>
      </c>
      <c r="AC876" s="31">
        <f t="shared" si="190"/>
        <v>211185.96</v>
      </c>
      <c r="AD876" s="31">
        <f t="shared" si="190"/>
        <v>660000</v>
      </c>
      <c r="AE876" s="31">
        <f t="shared" si="190"/>
        <v>0</v>
      </c>
      <c r="AF876" s="72" t="s">
        <v>776</v>
      </c>
      <c r="AG876" s="72" t="s">
        <v>776</v>
      </c>
      <c r="AH876" s="88" t="s">
        <v>776</v>
      </c>
      <c r="AT876" s="20" t="e">
        <f t="shared" si="177"/>
        <v>#N/A</v>
      </c>
      <c r="BZ876" s="71">
        <v>10103503.050000001</v>
      </c>
      <c r="CD876" s="20" t="e">
        <f t="shared" si="170"/>
        <v>#N/A</v>
      </c>
    </row>
    <row r="877" spans="1:82" ht="61.5" x14ac:dyDescent="0.85">
      <c r="A877" s="20">
        <v>1</v>
      </c>
      <c r="B877" s="66">
        <f>SUBTOTAL(103,$A$552:A877)</f>
        <v>299</v>
      </c>
      <c r="C877" s="24" t="s">
        <v>1726</v>
      </c>
      <c r="D877" s="31">
        <f>E877+F877+G877+H877+I877+J877+L877+N877+P877+R877+T877+U877+V877+W877+X877+Y877+Z877+AA877+AB877+AC877+AD877+AE877</f>
        <v>2958681.4299999997</v>
      </c>
      <c r="E877" s="31">
        <v>0</v>
      </c>
      <c r="F877" s="31">
        <v>0</v>
      </c>
      <c r="G877" s="31">
        <v>0</v>
      </c>
      <c r="H877" s="31">
        <v>0</v>
      </c>
      <c r="I877" s="31">
        <v>0</v>
      </c>
      <c r="J877" s="31">
        <v>0</v>
      </c>
      <c r="K877" s="33">
        <v>0</v>
      </c>
      <c r="L877" s="31">
        <v>0</v>
      </c>
      <c r="M877" s="31">
        <v>368.29</v>
      </c>
      <c r="N877" s="31">
        <f>2889837.04-122663.22</f>
        <v>2767173.82</v>
      </c>
      <c r="O877" s="31">
        <v>0</v>
      </c>
      <c r="P877" s="31">
        <v>0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0</v>
      </c>
      <c r="AA877" s="31">
        <v>0</v>
      </c>
      <c r="AB877" s="31">
        <v>0</v>
      </c>
      <c r="AC877" s="31">
        <f>ROUND(N877*1.5%,2)</f>
        <v>41507.61</v>
      </c>
      <c r="AD877" s="31">
        <v>150000</v>
      </c>
      <c r="AE877" s="31">
        <v>0</v>
      </c>
      <c r="AF877" s="34">
        <v>2021</v>
      </c>
      <c r="AG877" s="34">
        <v>2021</v>
      </c>
      <c r="AH877" s="35">
        <v>2021</v>
      </c>
      <c r="AT877" s="20" t="e">
        <f t="shared" si="177"/>
        <v>#N/A</v>
      </c>
      <c r="BZ877" s="71"/>
      <c r="CD877" s="20" t="e">
        <f t="shared" si="170"/>
        <v>#N/A</v>
      </c>
    </row>
    <row r="878" spans="1:82" ht="61.5" x14ac:dyDescent="0.85">
      <c r="A878" s="20">
        <v>1</v>
      </c>
      <c r="B878" s="66">
        <f>SUBTOTAL(103,$A$552:A878)</f>
        <v>300</v>
      </c>
      <c r="C878" s="24" t="s">
        <v>80</v>
      </c>
      <c r="D878" s="31">
        <f>E878+F878+G878+H878+I878+J878+L878+N878+P878+R878+T878+U878+V878+W878+X878+Y878+Z878+AA878+AB878+AC878+AD878+AE878</f>
        <v>2424688.3000000003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3">
        <v>0</v>
      </c>
      <c r="L878" s="31">
        <v>0</v>
      </c>
      <c r="M878" s="31">
        <v>430</v>
      </c>
      <c r="N878" s="31">
        <v>2270628.87</v>
      </c>
      <c r="O878" s="31">
        <v>0</v>
      </c>
      <c r="P878" s="31">
        <v>0</v>
      </c>
      <c r="Q878" s="31">
        <v>0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1">
        <f>ROUND(N878*1.5%,2)</f>
        <v>34059.43</v>
      </c>
      <c r="AD878" s="31">
        <v>120000</v>
      </c>
      <c r="AE878" s="31">
        <v>0</v>
      </c>
      <c r="AF878" s="34">
        <v>2021</v>
      </c>
      <c r="AG878" s="34">
        <v>2021</v>
      </c>
      <c r="AH878" s="35">
        <v>2021</v>
      </c>
      <c r="AT878" s="20" t="e">
        <f t="shared" si="177"/>
        <v>#N/A</v>
      </c>
      <c r="BZ878" s="71"/>
      <c r="CD878" s="20" t="e">
        <f t="shared" si="170"/>
        <v>#N/A</v>
      </c>
    </row>
    <row r="879" spans="1:82" ht="61.5" x14ac:dyDescent="0.85">
      <c r="A879" s="20">
        <v>1</v>
      </c>
      <c r="B879" s="66">
        <f>SUBTOTAL(103,$A$552:A879)</f>
        <v>301</v>
      </c>
      <c r="C879" s="24" t="s">
        <v>81</v>
      </c>
      <c r="D879" s="31">
        <f>E879+F879+G879+H879+I879+J879+L879+N879+P879+R879+T879+U879+V879+W879+X879+Y879+Z879+AA879+AB879+AC879+AD879+AE879</f>
        <v>2424688.3000000003</v>
      </c>
      <c r="E879" s="31">
        <v>0</v>
      </c>
      <c r="F879" s="31">
        <v>0</v>
      </c>
      <c r="G879" s="31">
        <v>0</v>
      </c>
      <c r="H879" s="31">
        <v>0</v>
      </c>
      <c r="I879" s="31">
        <v>0</v>
      </c>
      <c r="J879" s="31">
        <v>0</v>
      </c>
      <c r="K879" s="33">
        <v>0</v>
      </c>
      <c r="L879" s="31">
        <v>0</v>
      </c>
      <c r="M879" s="31">
        <v>430</v>
      </c>
      <c r="N879" s="31">
        <v>2270628.87</v>
      </c>
      <c r="O879" s="31">
        <v>0</v>
      </c>
      <c r="P879" s="31">
        <v>0</v>
      </c>
      <c r="Q879" s="31">
        <v>0</v>
      </c>
      <c r="R879" s="31">
        <v>0</v>
      </c>
      <c r="S879" s="31">
        <v>0</v>
      </c>
      <c r="T879" s="31">
        <v>0</v>
      </c>
      <c r="U879" s="31">
        <v>0</v>
      </c>
      <c r="V879" s="31">
        <v>0</v>
      </c>
      <c r="W879" s="31">
        <v>0</v>
      </c>
      <c r="X879" s="31">
        <v>0</v>
      </c>
      <c r="Y879" s="31">
        <v>0</v>
      </c>
      <c r="Z879" s="31">
        <v>0</v>
      </c>
      <c r="AA879" s="31">
        <v>0</v>
      </c>
      <c r="AB879" s="31">
        <v>0</v>
      </c>
      <c r="AC879" s="31">
        <f>ROUND(N879*1.5%,2)</f>
        <v>34059.43</v>
      </c>
      <c r="AD879" s="31">
        <v>120000</v>
      </c>
      <c r="AE879" s="31">
        <v>0</v>
      </c>
      <c r="AF879" s="34">
        <v>2021</v>
      </c>
      <c r="AG879" s="34">
        <v>2021</v>
      </c>
      <c r="AH879" s="35">
        <v>2021</v>
      </c>
      <c r="AT879" s="20" t="e">
        <f t="shared" si="177"/>
        <v>#N/A</v>
      </c>
      <c r="BZ879" s="71"/>
      <c r="CD879" s="20" t="e">
        <f t="shared" si="170"/>
        <v>#N/A</v>
      </c>
    </row>
    <row r="880" spans="1:82" ht="61.5" x14ac:dyDescent="0.85">
      <c r="A880" s="20">
        <v>1</v>
      </c>
      <c r="B880" s="66">
        <f>SUBTOTAL(103,$A$552:A880)</f>
        <v>302</v>
      </c>
      <c r="C880" s="24" t="s">
        <v>78</v>
      </c>
      <c r="D880" s="31">
        <f>E880+F880+G880+H880+I880+J880+L880+N880+P880+R880+T880+U880+V880+W880+X880+Y880+Z880+AA880+AB880+AC880+AD880+AE880</f>
        <v>2170941.85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3">
        <v>0</v>
      </c>
      <c r="L880" s="31">
        <v>0</v>
      </c>
      <c r="M880" s="31">
        <v>385</v>
      </c>
      <c r="N880" s="31">
        <v>2020632.36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f>ROUND(N880*1.5%,2)</f>
        <v>30309.49</v>
      </c>
      <c r="AD880" s="31">
        <v>120000</v>
      </c>
      <c r="AE880" s="31">
        <v>0</v>
      </c>
      <c r="AF880" s="34">
        <v>2021</v>
      </c>
      <c r="AG880" s="34">
        <v>2021</v>
      </c>
      <c r="AH880" s="35">
        <v>2021</v>
      </c>
      <c r="AT880" s="20" t="e">
        <f t="shared" si="177"/>
        <v>#N/A</v>
      </c>
      <c r="BZ880" s="71"/>
      <c r="CD880" s="20" t="e">
        <f t="shared" si="170"/>
        <v>#N/A</v>
      </c>
    </row>
    <row r="881" spans="1:82" ht="61.5" x14ac:dyDescent="0.85">
      <c r="A881" s="20">
        <v>1</v>
      </c>
      <c r="B881" s="66">
        <f>SUBTOTAL(103,$A$552:A881)</f>
        <v>303</v>
      </c>
      <c r="C881" s="24" t="s">
        <v>1725</v>
      </c>
      <c r="D881" s="31">
        <f>E881+F881+G881+H881+I881+J881+L881+N881+P881+R881+T881+U881+V881+W881+X881+Y881+Z881+AA881+AB881+AC881+AD881+AE881</f>
        <v>4971250</v>
      </c>
      <c r="E881" s="31">
        <v>0</v>
      </c>
      <c r="F881" s="31">
        <v>0</v>
      </c>
      <c r="G881" s="31">
        <v>0</v>
      </c>
      <c r="H881" s="31">
        <v>0</v>
      </c>
      <c r="I881" s="31">
        <v>0</v>
      </c>
      <c r="J881" s="31">
        <v>0</v>
      </c>
      <c r="K881" s="33">
        <v>0</v>
      </c>
      <c r="L881" s="31">
        <v>0</v>
      </c>
      <c r="M881" s="31">
        <v>950</v>
      </c>
      <c r="N881" s="31">
        <v>4750000</v>
      </c>
      <c r="O881" s="31">
        <v>0</v>
      </c>
      <c r="P881" s="31">
        <v>0</v>
      </c>
      <c r="Q881" s="31">
        <v>0</v>
      </c>
      <c r="R881" s="31">
        <v>0</v>
      </c>
      <c r="S881" s="31">
        <v>0</v>
      </c>
      <c r="T881" s="31">
        <v>0</v>
      </c>
      <c r="U881" s="31">
        <v>0</v>
      </c>
      <c r="V881" s="31">
        <v>0</v>
      </c>
      <c r="W881" s="31">
        <v>0</v>
      </c>
      <c r="X881" s="31">
        <v>0</v>
      </c>
      <c r="Y881" s="31">
        <v>0</v>
      </c>
      <c r="Z881" s="31">
        <v>0</v>
      </c>
      <c r="AA881" s="31">
        <v>0</v>
      </c>
      <c r="AB881" s="31">
        <v>0</v>
      </c>
      <c r="AC881" s="31">
        <f>ROUND(N881*1.5%,2)</f>
        <v>71250</v>
      </c>
      <c r="AD881" s="31">
        <v>150000</v>
      </c>
      <c r="AE881" s="31">
        <v>0</v>
      </c>
      <c r="AF881" s="34">
        <v>2021</v>
      </c>
      <c r="AG881" s="34">
        <v>2021</v>
      </c>
      <c r="AH881" s="35">
        <v>2021</v>
      </c>
      <c r="BZ881" s="71"/>
      <c r="CD881" s="20" t="e">
        <f t="shared" si="170"/>
        <v>#N/A</v>
      </c>
    </row>
    <row r="882" spans="1:82" ht="61.5" x14ac:dyDescent="0.85">
      <c r="B882" s="24" t="s">
        <v>897</v>
      </c>
      <c r="C882" s="24"/>
      <c r="D882" s="31">
        <f t="shared" ref="D882:AE882" si="191">D883+D884</f>
        <v>2766932.97</v>
      </c>
      <c r="E882" s="31">
        <f t="shared" si="191"/>
        <v>0</v>
      </c>
      <c r="F882" s="31">
        <f t="shared" si="191"/>
        <v>0</v>
      </c>
      <c r="G882" s="31">
        <f t="shared" si="191"/>
        <v>0</v>
      </c>
      <c r="H882" s="31">
        <f t="shared" si="191"/>
        <v>0</v>
      </c>
      <c r="I882" s="31">
        <f t="shared" si="191"/>
        <v>0</v>
      </c>
      <c r="J882" s="31">
        <f t="shared" si="191"/>
        <v>0</v>
      </c>
      <c r="K882" s="33">
        <f t="shared" si="191"/>
        <v>0</v>
      </c>
      <c r="L882" s="31">
        <f t="shared" si="191"/>
        <v>0</v>
      </c>
      <c r="M882" s="31">
        <f t="shared" si="191"/>
        <v>467</v>
      </c>
      <c r="N882" s="31">
        <f t="shared" si="191"/>
        <v>2489589.13</v>
      </c>
      <c r="O882" s="31">
        <f t="shared" si="191"/>
        <v>0</v>
      </c>
      <c r="P882" s="31">
        <f t="shared" si="191"/>
        <v>0</v>
      </c>
      <c r="Q882" s="31">
        <f t="shared" si="191"/>
        <v>0</v>
      </c>
      <c r="R882" s="31">
        <f t="shared" si="191"/>
        <v>0</v>
      </c>
      <c r="S882" s="31">
        <f t="shared" si="191"/>
        <v>0</v>
      </c>
      <c r="T882" s="31">
        <f t="shared" si="191"/>
        <v>0</v>
      </c>
      <c r="U882" s="31">
        <f t="shared" si="191"/>
        <v>0</v>
      </c>
      <c r="V882" s="31">
        <f t="shared" si="191"/>
        <v>0</v>
      </c>
      <c r="W882" s="31">
        <f t="shared" si="191"/>
        <v>0</v>
      </c>
      <c r="X882" s="31">
        <f t="shared" si="191"/>
        <v>0</v>
      </c>
      <c r="Y882" s="31">
        <f t="shared" si="191"/>
        <v>0</v>
      </c>
      <c r="Z882" s="31">
        <f t="shared" si="191"/>
        <v>0</v>
      </c>
      <c r="AA882" s="31">
        <f t="shared" si="191"/>
        <v>0</v>
      </c>
      <c r="AB882" s="31">
        <f t="shared" si="191"/>
        <v>0</v>
      </c>
      <c r="AC882" s="31">
        <f t="shared" si="191"/>
        <v>37343.839999999997</v>
      </c>
      <c r="AD882" s="31">
        <f t="shared" si="191"/>
        <v>240000</v>
      </c>
      <c r="AE882" s="31">
        <f t="shared" si="191"/>
        <v>0</v>
      </c>
      <c r="AF882" s="72" t="s">
        <v>776</v>
      </c>
      <c r="AG882" s="72" t="s">
        <v>776</v>
      </c>
      <c r="AH882" s="88" t="s">
        <v>776</v>
      </c>
      <c r="AT882" s="20" t="e">
        <f t="shared" ref="AT882:AT903" si="192">VLOOKUP(C882,AW:AX,2,FALSE)</f>
        <v>#N/A</v>
      </c>
      <c r="BZ882" s="71">
        <v>2766932.97</v>
      </c>
      <c r="CD882" s="20" t="e">
        <f t="shared" si="170"/>
        <v>#N/A</v>
      </c>
    </row>
    <row r="883" spans="1:82" ht="61.5" x14ac:dyDescent="0.85">
      <c r="A883" s="20">
        <v>1</v>
      </c>
      <c r="B883" s="66">
        <f>SUBTOTAL(103,$A$552:A883)</f>
        <v>304</v>
      </c>
      <c r="C883" s="24" t="s">
        <v>82</v>
      </c>
      <c r="D883" s="31">
        <f>E883+F883+G883+H883+I883+J883+L883+N883+P883+R883+T883+U883+V883+W883+X883+Y883+Z883+AA883+AB883+AC883+AD883+AE883</f>
        <v>1818947.37</v>
      </c>
      <c r="E883" s="31">
        <v>0</v>
      </c>
      <c r="F883" s="31">
        <v>0</v>
      </c>
      <c r="G883" s="31">
        <v>0</v>
      </c>
      <c r="H883" s="31">
        <v>0</v>
      </c>
      <c r="I883" s="31">
        <v>0</v>
      </c>
      <c r="J883" s="31">
        <v>0</v>
      </c>
      <c r="K883" s="33">
        <v>0</v>
      </c>
      <c r="L883" s="31">
        <v>0</v>
      </c>
      <c r="M883" s="31">
        <v>307</v>
      </c>
      <c r="N883" s="31">
        <v>1673839.77</v>
      </c>
      <c r="O883" s="31">
        <v>0</v>
      </c>
      <c r="P883" s="31">
        <v>0</v>
      </c>
      <c r="Q883" s="31">
        <v>0</v>
      </c>
      <c r="R883" s="31">
        <v>0</v>
      </c>
      <c r="S883" s="31">
        <v>0</v>
      </c>
      <c r="T883" s="31">
        <v>0</v>
      </c>
      <c r="U883" s="31">
        <v>0</v>
      </c>
      <c r="V883" s="31">
        <v>0</v>
      </c>
      <c r="W883" s="31">
        <v>0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  <c r="AC883" s="31">
        <f>ROUND(N883*1.5%,2)</f>
        <v>25107.599999999999</v>
      </c>
      <c r="AD883" s="31">
        <v>120000</v>
      </c>
      <c r="AE883" s="31">
        <v>0</v>
      </c>
      <c r="AF883" s="34">
        <v>2021</v>
      </c>
      <c r="AG883" s="34">
        <v>2021</v>
      </c>
      <c r="AH883" s="35">
        <v>2021</v>
      </c>
      <c r="AT883" s="20" t="e">
        <f t="shared" si="192"/>
        <v>#N/A</v>
      </c>
      <c r="BZ883" s="71"/>
      <c r="CD883" s="20" t="e">
        <f t="shared" si="170"/>
        <v>#N/A</v>
      </c>
    </row>
    <row r="884" spans="1:82" ht="61.5" x14ac:dyDescent="0.85">
      <c r="A884" s="20">
        <v>1</v>
      </c>
      <c r="B884" s="66">
        <f>SUBTOTAL(103,$A$552:A884)</f>
        <v>305</v>
      </c>
      <c r="C884" s="24" t="s">
        <v>83</v>
      </c>
      <c r="D884" s="31">
        <f>E884+F884+G884+H884+I884+J884+L884+N884+P884+R884+T884+U884+V884+W884+X884+Y884+Z884+AA884+AB884+AC884+AD884+AE884</f>
        <v>947985.6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3">
        <v>0</v>
      </c>
      <c r="L884" s="31">
        <v>0</v>
      </c>
      <c r="M884" s="31">
        <v>160</v>
      </c>
      <c r="N884" s="31">
        <v>815749.36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0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f>ROUND(N884*1.5%,2)</f>
        <v>12236.24</v>
      </c>
      <c r="AD884" s="31">
        <v>120000</v>
      </c>
      <c r="AE884" s="31">
        <v>0</v>
      </c>
      <c r="AF884" s="34">
        <v>2021</v>
      </c>
      <c r="AG884" s="34">
        <v>2021</v>
      </c>
      <c r="AH884" s="35">
        <v>2021</v>
      </c>
      <c r="AT884" s="20" t="e">
        <f t="shared" si="192"/>
        <v>#N/A</v>
      </c>
      <c r="BZ884" s="71"/>
      <c r="CD884" s="20" t="e">
        <f t="shared" si="170"/>
        <v>#N/A</v>
      </c>
    </row>
    <row r="885" spans="1:82" ht="61.5" x14ac:dyDescent="0.85">
      <c r="B885" s="24" t="s">
        <v>898</v>
      </c>
      <c r="C885" s="24"/>
      <c r="D885" s="31">
        <f t="shared" ref="D885:AE885" si="193">D886</f>
        <v>2568179.12</v>
      </c>
      <c r="E885" s="31">
        <f t="shared" si="193"/>
        <v>0</v>
      </c>
      <c r="F885" s="31">
        <f t="shared" si="193"/>
        <v>0</v>
      </c>
      <c r="G885" s="31">
        <f t="shared" si="193"/>
        <v>0</v>
      </c>
      <c r="H885" s="31">
        <f t="shared" si="193"/>
        <v>0</v>
      </c>
      <c r="I885" s="31">
        <f t="shared" si="193"/>
        <v>0</v>
      </c>
      <c r="J885" s="31">
        <f t="shared" si="193"/>
        <v>0</v>
      </c>
      <c r="K885" s="33">
        <f t="shared" si="193"/>
        <v>0</v>
      </c>
      <c r="L885" s="31">
        <f t="shared" si="193"/>
        <v>0</v>
      </c>
      <c r="M885" s="31">
        <f t="shared" si="193"/>
        <v>399.43</v>
      </c>
      <c r="N885" s="31">
        <f t="shared" si="193"/>
        <v>2411999.13</v>
      </c>
      <c r="O885" s="31">
        <f t="shared" si="193"/>
        <v>0</v>
      </c>
      <c r="P885" s="31">
        <f t="shared" si="193"/>
        <v>0</v>
      </c>
      <c r="Q885" s="31">
        <f t="shared" si="193"/>
        <v>0</v>
      </c>
      <c r="R885" s="31">
        <f t="shared" si="193"/>
        <v>0</v>
      </c>
      <c r="S885" s="31">
        <f t="shared" si="193"/>
        <v>0</v>
      </c>
      <c r="T885" s="31">
        <f t="shared" si="193"/>
        <v>0</v>
      </c>
      <c r="U885" s="31">
        <f t="shared" si="193"/>
        <v>0</v>
      </c>
      <c r="V885" s="31">
        <f t="shared" si="193"/>
        <v>0</v>
      </c>
      <c r="W885" s="31">
        <f t="shared" si="193"/>
        <v>0</v>
      </c>
      <c r="X885" s="31">
        <f t="shared" si="193"/>
        <v>0</v>
      </c>
      <c r="Y885" s="31">
        <f t="shared" si="193"/>
        <v>0</v>
      </c>
      <c r="Z885" s="31">
        <f t="shared" si="193"/>
        <v>0</v>
      </c>
      <c r="AA885" s="31">
        <f t="shared" si="193"/>
        <v>0</v>
      </c>
      <c r="AB885" s="31">
        <f t="shared" si="193"/>
        <v>0</v>
      </c>
      <c r="AC885" s="31">
        <f t="shared" si="193"/>
        <v>36179.99</v>
      </c>
      <c r="AD885" s="31">
        <f t="shared" si="193"/>
        <v>120000</v>
      </c>
      <c r="AE885" s="31">
        <f t="shared" si="193"/>
        <v>0</v>
      </c>
      <c r="AF885" s="72" t="s">
        <v>776</v>
      </c>
      <c r="AG885" s="72" t="s">
        <v>776</v>
      </c>
      <c r="AH885" s="88" t="s">
        <v>776</v>
      </c>
      <c r="AT885" s="20" t="e">
        <f t="shared" si="192"/>
        <v>#N/A</v>
      </c>
      <c r="BZ885" s="71">
        <v>2568179.12</v>
      </c>
      <c r="CD885" s="20" t="e">
        <f t="shared" si="170"/>
        <v>#N/A</v>
      </c>
    </row>
    <row r="886" spans="1:82" ht="61.5" x14ac:dyDescent="0.85">
      <c r="A886" s="20">
        <v>1</v>
      </c>
      <c r="B886" s="66">
        <f>SUBTOTAL(103,$A$552:A886)</f>
        <v>306</v>
      </c>
      <c r="C886" s="24" t="s">
        <v>84</v>
      </c>
      <c r="D886" s="31">
        <f>E886+F886+G886+H886+I886+J886+L886+N886+P886+R886+T886+U886+V886+W886+X886+Y886+Z886+AA886+AB886+AC886+AD886+AE886</f>
        <v>2568179.12</v>
      </c>
      <c r="E886" s="31">
        <v>0</v>
      </c>
      <c r="F886" s="31">
        <v>0</v>
      </c>
      <c r="G886" s="31">
        <v>0</v>
      </c>
      <c r="H886" s="31">
        <v>0</v>
      </c>
      <c r="I886" s="31">
        <v>0</v>
      </c>
      <c r="J886" s="31">
        <v>0</v>
      </c>
      <c r="K886" s="33">
        <v>0</v>
      </c>
      <c r="L886" s="31">
        <v>0</v>
      </c>
      <c r="M886" s="31">
        <v>399.43</v>
      </c>
      <c r="N886" s="31">
        <v>2411999.13</v>
      </c>
      <c r="O886" s="31">
        <v>0</v>
      </c>
      <c r="P886" s="31">
        <v>0</v>
      </c>
      <c r="Q886" s="31">
        <v>0</v>
      </c>
      <c r="R886" s="31">
        <v>0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f>ROUND(N886*1.5%,2)</f>
        <v>36179.99</v>
      </c>
      <c r="AD886" s="31">
        <v>120000</v>
      </c>
      <c r="AE886" s="31">
        <v>0</v>
      </c>
      <c r="AF886" s="34">
        <v>2021</v>
      </c>
      <c r="AG886" s="34">
        <v>2021</v>
      </c>
      <c r="AH886" s="35">
        <v>2021</v>
      </c>
      <c r="AT886" s="20" t="e">
        <f t="shared" si="192"/>
        <v>#N/A</v>
      </c>
      <c r="BZ886" s="71"/>
      <c r="CD886" s="20" t="e">
        <f t="shared" si="170"/>
        <v>#N/A</v>
      </c>
    </row>
    <row r="887" spans="1:82" ht="61.5" x14ac:dyDescent="0.85">
      <c r="B887" s="24" t="s">
        <v>865</v>
      </c>
      <c r="C887" s="129"/>
      <c r="D887" s="31">
        <f t="shared" ref="D887:AE887" si="194">D888</f>
        <v>2981647.8</v>
      </c>
      <c r="E887" s="31">
        <f t="shared" si="194"/>
        <v>0</v>
      </c>
      <c r="F887" s="31">
        <f t="shared" si="194"/>
        <v>0</v>
      </c>
      <c r="G887" s="31">
        <f t="shared" si="194"/>
        <v>0</v>
      </c>
      <c r="H887" s="31">
        <f t="shared" si="194"/>
        <v>0</v>
      </c>
      <c r="I887" s="31">
        <f t="shared" si="194"/>
        <v>0</v>
      </c>
      <c r="J887" s="31">
        <f t="shared" si="194"/>
        <v>0</v>
      </c>
      <c r="K887" s="33">
        <f t="shared" si="194"/>
        <v>0</v>
      </c>
      <c r="L887" s="31">
        <f t="shared" si="194"/>
        <v>0</v>
      </c>
      <c r="M887" s="31">
        <f t="shared" si="194"/>
        <v>571</v>
      </c>
      <c r="N887" s="31">
        <f t="shared" si="194"/>
        <v>2789800.79</v>
      </c>
      <c r="O887" s="31">
        <f t="shared" si="194"/>
        <v>0</v>
      </c>
      <c r="P887" s="31">
        <f t="shared" si="194"/>
        <v>0</v>
      </c>
      <c r="Q887" s="31">
        <f t="shared" si="194"/>
        <v>0</v>
      </c>
      <c r="R887" s="31">
        <f t="shared" si="194"/>
        <v>0</v>
      </c>
      <c r="S887" s="31">
        <f t="shared" si="194"/>
        <v>0</v>
      </c>
      <c r="T887" s="31">
        <f t="shared" si="194"/>
        <v>0</v>
      </c>
      <c r="U887" s="31">
        <f t="shared" si="194"/>
        <v>0</v>
      </c>
      <c r="V887" s="31">
        <f t="shared" si="194"/>
        <v>0</v>
      </c>
      <c r="W887" s="31">
        <f t="shared" si="194"/>
        <v>0</v>
      </c>
      <c r="X887" s="31">
        <f t="shared" si="194"/>
        <v>0</v>
      </c>
      <c r="Y887" s="31">
        <f t="shared" si="194"/>
        <v>0</v>
      </c>
      <c r="Z887" s="31">
        <f t="shared" si="194"/>
        <v>0</v>
      </c>
      <c r="AA887" s="31">
        <f t="shared" si="194"/>
        <v>0</v>
      </c>
      <c r="AB887" s="31">
        <f t="shared" si="194"/>
        <v>0</v>
      </c>
      <c r="AC887" s="31">
        <f t="shared" si="194"/>
        <v>41847.01</v>
      </c>
      <c r="AD887" s="31">
        <f t="shared" si="194"/>
        <v>150000</v>
      </c>
      <c r="AE887" s="31">
        <f t="shared" si="194"/>
        <v>0</v>
      </c>
      <c r="AF887" s="72" t="s">
        <v>776</v>
      </c>
      <c r="AG887" s="72" t="s">
        <v>776</v>
      </c>
      <c r="AH887" s="88" t="s">
        <v>776</v>
      </c>
      <c r="AT887" s="20" t="e">
        <f t="shared" si="192"/>
        <v>#N/A</v>
      </c>
      <c r="BZ887" s="71">
        <v>2981647.8</v>
      </c>
      <c r="CD887" s="20" t="e">
        <f t="shared" si="170"/>
        <v>#N/A</v>
      </c>
    </row>
    <row r="888" spans="1:82" ht="61.5" x14ac:dyDescent="0.85">
      <c r="A888" s="20">
        <v>1</v>
      </c>
      <c r="B888" s="66">
        <f>SUBTOTAL(103,$A$552:A888)</f>
        <v>307</v>
      </c>
      <c r="C888" s="24" t="s">
        <v>107</v>
      </c>
      <c r="D888" s="31">
        <f>E888+F888+G888+H888+I888+J888+L888+N888+P888+R888+T888+U888+V888+W888+X888+Y888+Z888+AA888+AB888+AC888+AD888+AE888</f>
        <v>2981647.8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3">
        <v>0</v>
      </c>
      <c r="L888" s="31">
        <v>0</v>
      </c>
      <c r="M888" s="31">
        <v>571</v>
      </c>
      <c r="N888" s="31">
        <v>2789800.79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1">
        <f>ROUND(N888*1.5%,2)</f>
        <v>41847.01</v>
      </c>
      <c r="AD888" s="31">
        <v>150000</v>
      </c>
      <c r="AE888" s="31">
        <v>0</v>
      </c>
      <c r="AF888" s="34">
        <v>2021</v>
      </c>
      <c r="AG888" s="34">
        <v>2021</v>
      </c>
      <c r="AH888" s="35">
        <v>2021</v>
      </c>
      <c r="AT888" s="20" t="e">
        <f t="shared" si="192"/>
        <v>#N/A</v>
      </c>
      <c r="BZ888" s="71"/>
      <c r="CD888" s="20" t="e">
        <f t="shared" si="170"/>
        <v>#N/A</v>
      </c>
    </row>
    <row r="889" spans="1:82" ht="61.5" x14ac:dyDescent="0.85">
      <c r="B889" s="24" t="s">
        <v>899</v>
      </c>
      <c r="C889" s="24"/>
      <c r="D889" s="31">
        <f t="shared" ref="D889:AE889" si="195">D890</f>
        <v>4290230.8800000008</v>
      </c>
      <c r="E889" s="31">
        <f t="shared" si="195"/>
        <v>0</v>
      </c>
      <c r="F889" s="31">
        <f t="shared" si="195"/>
        <v>0</v>
      </c>
      <c r="G889" s="31">
        <f t="shared" si="195"/>
        <v>0</v>
      </c>
      <c r="H889" s="31">
        <f t="shared" si="195"/>
        <v>0</v>
      </c>
      <c r="I889" s="31">
        <f t="shared" si="195"/>
        <v>0</v>
      </c>
      <c r="J889" s="31">
        <f t="shared" si="195"/>
        <v>0</v>
      </c>
      <c r="K889" s="33">
        <f t="shared" si="195"/>
        <v>0</v>
      </c>
      <c r="L889" s="31">
        <f t="shared" si="195"/>
        <v>0</v>
      </c>
      <c r="M889" s="31">
        <f t="shared" si="195"/>
        <v>821.6</v>
      </c>
      <c r="N889" s="31">
        <f t="shared" si="195"/>
        <v>4079045.2</v>
      </c>
      <c r="O889" s="31">
        <f t="shared" si="195"/>
        <v>0</v>
      </c>
      <c r="P889" s="31">
        <f t="shared" si="195"/>
        <v>0</v>
      </c>
      <c r="Q889" s="31">
        <f t="shared" si="195"/>
        <v>0</v>
      </c>
      <c r="R889" s="31">
        <f t="shared" si="195"/>
        <v>0</v>
      </c>
      <c r="S889" s="31">
        <f t="shared" si="195"/>
        <v>0</v>
      </c>
      <c r="T889" s="31">
        <f t="shared" si="195"/>
        <v>0</v>
      </c>
      <c r="U889" s="31">
        <f t="shared" si="195"/>
        <v>0</v>
      </c>
      <c r="V889" s="31">
        <f t="shared" si="195"/>
        <v>0</v>
      </c>
      <c r="W889" s="31">
        <f t="shared" si="195"/>
        <v>0</v>
      </c>
      <c r="X889" s="31">
        <f t="shared" si="195"/>
        <v>0</v>
      </c>
      <c r="Y889" s="31">
        <f t="shared" si="195"/>
        <v>0</v>
      </c>
      <c r="Z889" s="31">
        <f t="shared" si="195"/>
        <v>0</v>
      </c>
      <c r="AA889" s="31">
        <f t="shared" si="195"/>
        <v>0</v>
      </c>
      <c r="AB889" s="31">
        <f t="shared" si="195"/>
        <v>0</v>
      </c>
      <c r="AC889" s="31">
        <f t="shared" si="195"/>
        <v>61185.68</v>
      </c>
      <c r="AD889" s="31">
        <f t="shared" si="195"/>
        <v>150000</v>
      </c>
      <c r="AE889" s="31">
        <f t="shared" si="195"/>
        <v>0</v>
      </c>
      <c r="AF889" s="72" t="s">
        <v>776</v>
      </c>
      <c r="AG889" s="72" t="s">
        <v>776</v>
      </c>
      <c r="AH889" s="88" t="s">
        <v>776</v>
      </c>
      <c r="AT889" s="20" t="e">
        <f t="shared" si="192"/>
        <v>#N/A</v>
      </c>
      <c r="BZ889" s="71">
        <v>4290230.8800000008</v>
      </c>
      <c r="CD889" s="20" t="e">
        <f t="shared" si="170"/>
        <v>#N/A</v>
      </c>
    </row>
    <row r="890" spans="1:82" ht="61.5" x14ac:dyDescent="0.85">
      <c r="A890" s="20">
        <v>1</v>
      </c>
      <c r="B890" s="66">
        <f>SUBTOTAL(103,$A$552:A890)</f>
        <v>308</v>
      </c>
      <c r="C890" s="24" t="s">
        <v>113</v>
      </c>
      <c r="D890" s="31">
        <f>E890+F890+G890+H890+I890+J890+L890+N890+P890+R890+T890+U890+V890+W890+X890+Y890+Z890+AA890+AB890+AC890+AD890+AE890</f>
        <v>4290230.8800000008</v>
      </c>
      <c r="E890" s="31">
        <v>0</v>
      </c>
      <c r="F890" s="31">
        <v>0</v>
      </c>
      <c r="G890" s="31">
        <v>0</v>
      </c>
      <c r="H890" s="31">
        <v>0</v>
      </c>
      <c r="I890" s="31">
        <v>0</v>
      </c>
      <c r="J890" s="31">
        <v>0</v>
      </c>
      <c r="K890" s="33">
        <v>0</v>
      </c>
      <c r="L890" s="31">
        <v>0</v>
      </c>
      <c r="M890" s="31">
        <v>821.6</v>
      </c>
      <c r="N890" s="31">
        <v>4079045.2</v>
      </c>
      <c r="O890" s="31">
        <v>0</v>
      </c>
      <c r="P890" s="31">
        <v>0</v>
      </c>
      <c r="Q890" s="31">
        <v>0</v>
      </c>
      <c r="R890" s="31">
        <v>0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1">
        <f>ROUND(N890*1.5%,2)</f>
        <v>61185.68</v>
      </c>
      <c r="AD890" s="31">
        <v>150000</v>
      </c>
      <c r="AE890" s="31">
        <v>0</v>
      </c>
      <c r="AF890" s="34">
        <v>2021</v>
      </c>
      <c r="AG890" s="34">
        <v>2021</v>
      </c>
      <c r="AH890" s="35">
        <v>2021</v>
      </c>
      <c r="AT890" s="20" t="e">
        <f t="shared" si="192"/>
        <v>#N/A</v>
      </c>
      <c r="BZ890" s="71"/>
      <c r="CD890" s="20" t="e">
        <f t="shared" si="170"/>
        <v>#N/A</v>
      </c>
    </row>
    <row r="891" spans="1:82" ht="61.5" x14ac:dyDescent="0.85">
      <c r="B891" s="24" t="s">
        <v>900</v>
      </c>
      <c r="C891" s="24"/>
      <c r="D891" s="31">
        <f t="shared" ref="D891:AE891" si="196">D892</f>
        <v>2903320.8000000003</v>
      </c>
      <c r="E891" s="31">
        <f t="shared" si="196"/>
        <v>0</v>
      </c>
      <c r="F891" s="31">
        <f t="shared" si="196"/>
        <v>0</v>
      </c>
      <c r="G891" s="31">
        <f t="shared" si="196"/>
        <v>0</v>
      </c>
      <c r="H891" s="31">
        <f t="shared" si="196"/>
        <v>0</v>
      </c>
      <c r="I891" s="31">
        <f t="shared" si="196"/>
        <v>0</v>
      </c>
      <c r="J891" s="31">
        <f t="shared" si="196"/>
        <v>0</v>
      </c>
      <c r="K891" s="33">
        <f t="shared" si="196"/>
        <v>0</v>
      </c>
      <c r="L891" s="31">
        <f t="shared" si="196"/>
        <v>0</v>
      </c>
      <c r="M891" s="31">
        <f t="shared" si="196"/>
        <v>556</v>
      </c>
      <c r="N891" s="31">
        <f t="shared" si="196"/>
        <v>2712631.33</v>
      </c>
      <c r="O891" s="31">
        <f t="shared" si="196"/>
        <v>0</v>
      </c>
      <c r="P891" s="31">
        <f t="shared" si="196"/>
        <v>0</v>
      </c>
      <c r="Q891" s="31">
        <f t="shared" si="196"/>
        <v>0</v>
      </c>
      <c r="R891" s="31">
        <f t="shared" si="196"/>
        <v>0</v>
      </c>
      <c r="S891" s="31">
        <f t="shared" si="196"/>
        <v>0</v>
      </c>
      <c r="T891" s="31">
        <f t="shared" si="196"/>
        <v>0</v>
      </c>
      <c r="U891" s="31">
        <f t="shared" si="196"/>
        <v>0</v>
      </c>
      <c r="V891" s="31">
        <f t="shared" si="196"/>
        <v>0</v>
      </c>
      <c r="W891" s="31">
        <f t="shared" si="196"/>
        <v>0</v>
      </c>
      <c r="X891" s="31">
        <f t="shared" si="196"/>
        <v>0</v>
      </c>
      <c r="Y891" s="31">
        <f t="shared" si="196"/>
        <v>0</v>
      </c>
      <c r="Z891" s="31">
        <f t="shared" si="196"/>
        <v>0</v>
      </c>
      <c r="AA891" s="31">
        <f t="shared" si="196"/>
        <v>0</v>
      </c>
      <c r="AB891" s="31">
        <f t="shared" si="196"/>
        <v>0</v>
      </c>
      <c r="AC891" s="31">
        <f t="shared" si="196"/>
        <v>40689.47</v>
      </c>
      <c r="AD891" s="31">
        <f t="shared" si="196"/>
        <v>150000</v>
      </c>
      <c r="AE891" s="31">
        <f t="shared" si="196"/>
        <v>0</v>
      </c>
      <c r="AF891" s="72" t="s">
        <v>776</v>
      </c>
      <c r="AG891" s="72" t="s">
        <v>776</v>
      </c>
      <c r="AH891" s="88" t="s">
        <v>776</v>
      </c>
      <c r="AT891" s="20" t="e">
        <f t="shared" si="192"/>
        <v>#N/A</v>
      </c>
      <c r="BZ891" s="71">
        <v>2903320.8000000003</v>
      </c>
      <c r="CD891" s="20" t="e">
        <f t="shared" si="170"/>
        <v>#N/A</v>
      </c>
    </row>
    <row r="892" spans="1:82" ht="61.5" x14ac:dyDescent="0.85">
      <c r="A892" s="20">
        <v>1</v>
      </c>
      <c r="B892" s="66">
        <f>SUBTOTAL(103,$A$552:A892)</f>
        <v>309</v>
      </c>
      <c r="C892" s="24" t="s">
        <v>112</v>
      </c>
      <c r="D892" s="31">
        <f>E892+F892+G892+H892+I892+J892+L892+N892+P892+R892+T892+U892+V892+W892+X892+Y892+Z892+AA892+AB892+AC892+AD892+AE892</f>
        <v>2903320.8000000003</v>
      </c>
      <c r="E892" s="31">
        <v>0</v>
      </c>
      <c r="F892" s="31">
        <v>0</v>
      </c>
      <c r="G892" s="31">
        <v>0</v>
      </c>
      <c r="H892" s="31">
        <v>0</v>
      </c>
      <c r="I892" s="31">
        <v>0</v>
      </c>
      <c r="J892" s="31">
        <v>0</v>
      </c>
      <c r="K892" s="33">
        <v>0</v>
      </c>
      <c r="L892" s="31">
        <v>0</v>
      </c>
      <c r="M892" s="31">
        <v>556</v>
      </c>
      <c r="N892" s="31">
        <v>2712631.33</v>
      </c>
      <c r="O892" s="31">
        <v>0</v>
      </c>
      <c r="P892" s="31">
        <v>0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0</v>
      </c>
      <c r="AA892" s="31">
        <v>0</v>
      </c>
      <c r="AB892" s="31">
        <v>0</v>
      </c>
      <c r="AC892" s="31">
        <f>ROUND(N892*1.5%,2)</f>
        <v>40689.47</v>
      </c>
      <c r="AD892" s="31">
        <v>150000</v>
      </c>
      <c r="AE892" s="31">
        <v>0</v>
      </c>
      <c r="AF892" s="34">
        <v>2021</v>
      </c>
      <c r="AG892" s="34">
        <v>2021</v>
      </c>
      <c r="AH892" s="35">
        <v>2021</v>
      </c>
      <c r="AT892" s="20" t="e">
        <f t="shared" si="192"/>
        <v>#N/A</v>
      </c>
      <c r="BZ892" s="71"/>
      <c r="CD892" s="20" t="e">
        <f t="shared" si="170"/>
        <v>#N/A</v>
      </c>
    </row>
    <row r="893" spans="1:82" ht="61.5" x14ac:dyDescent="0.85">
      <c r="B893" s="24" t="s">
        <v>866</v>
      </c>
      <c r="C893" s="129"/>
      <c r="D893" s="31">
        <f t="shared" ref="D893:AE893" si="197">D894</f>
        <v>3826397.3000000003</v>
      </c>
      <c r="E893" s="31">
        <f t="shared" si="197"/>
        <v>0</v>
      </c>
      <c r="F893" s="31">
        <f t="shared" si="197"/>
        <v>0</v>
      </c>
      <c r="G893" s="31">
        <f t="shared" si="197"/>
        <v>0</v>
      </c>
      <c r="H893" s="31">
        <f t="shared" si="197"/>
        <v>0</v>
      </c>
      <c r="I893" s="31">
        <f t="shared" si="197"/>
        <v>0</v>
      </c>
      <c r="J893" s="31">
        <f t="shared" si="197"/>
        <v>0</v>
      </c>
      <c r="K893" s="33">
        <f t="shared" si="197"/>
        <v>0</v>
      </c>
      <c r="L893" s="31">
        <f t="shared" si="197"/>
        <v>0</v>
      </c>
      <c r="M893" s="31">
        <f t="shared" si="197"/>
        <v>794.3</v>
      </c>
      <c r="N893" s="31">
        <f t="shared" si="197"/>
        <v>3622066.31</v>
      </c>
      <c r="O893" s="31">
        <f t="shared" si="197"/>
        <v>0</v>
      </c>
      <c r="P893" s="31">
        <f t="shared" si="197"/>
        <v>0</v>
      </c>
      <c r="Q893" s="31">
        <f t="shared" si="197"/>
        <v>0</v>
      </c>
      <c r="R893" s="31">
        <f t="shared" si="197"/>
        <v>0</v>
      </c>
      <c r="S893" s="31">
        <f t="shared" si="197"/>
        <v>0</v>
      </c>
      <c r="T893" s="31">
        <f t="shared" si="197"/>
        <v>0</v>
      </c>
      <c r="U893" s="31">
        <f t="shared" si="197"/>
        <v>0</v>
      </c>
      <c r="V893" s="31">
        <f t="shared" si="197"/>
        <v>0</v>
      </c>
      <c r="W893" s="31">
        <f t="shared" si="197"/>
        <v>0</v>
      </c>
      <c r="X893" s="31">
        <f t="shared" si="197"/>
        <v>0</v>
      </c>
      <c r="Y893" s="31">
        <f t="shared" si="197"/>
        <v>0</v>
      </c>
      <c r="Z893" s="31">
        <f t="shared" si="197"/>
        <v>0</v>
      </c>
      <c r="AA893" s="31">
        <f t="shared" si="197"/>
        <v>0</v>
      </c>
      <c r="AB893" s="31">
        <f t="shared" si="197"/>
        <v>0</v>
      </c>
      <c r="AC893" s="31">
        <f t="shared" si="197"/>
        <v>54330.99</v>
      </c>
      <c r="AD893" s="31">
        <f t="shared" si="197"/>
        <v>150000</v>
      </c>
      <c r="AE893" s="31">
        <f t="shared" si="197"/>
        <v>0</v>
      </c>
      <c r="AF893" s="72" t="s">
        <v>776</v>
      </c>
      <c r="AG893" s="72" t="s">
        <v>776</v>
      </c>
      <c r="AH893" s="88" t="s">
        <v>776</v>
      </c>
      <c r="AT893" s="20" t="e">
        <f t="shared" si="192"/>
        <v>#N/A</v>
      </c>
      <c r="BZ893" s="71">
        <v>3826397.3000000003</v>
      </c>
      <c r="CD893" s="20" t="e">
        <f t="shared" si="170"/>
        <v>#N/A</v>
      </c>
    </row>
    <row r="894" spans="1:82" ht="61.5" x14ac:dyDescent="0.85">
      <c r="A894" s="20">
        <v>1</v>
      </c>
      <c r="B894" s="66">
        <f>SUBTOTAL(103,$A$552:A894)</f>
        <v>310</v>
      </c>
      <c r="C894" s="24" t="s">
        <v>57</v>
      </c>
      <c r="D894" s="31">
        <f>E894+F894+G894+H894+I894+J894+L894+N894+P894+R894+T894+U894+V894+W894+X894+Y894+Z894+AA894+AB894+AC894+AD894+AE894</f>
        <v>3826397.3000000003</v>
      </c>
      <c r="E894" s="31">
        <v>0</v>
      </c>
      <c r="F894" s="31">
        <v>0</v>
      </c>
      <c r="G894" s="31">
        <v>0</v>
      </c>
      <c r="H894" s="31">
        <v>0</v>
      </c>
      <c r="I894" s="31">
        <v>0</v>
      </c>
      <c r="J894" s="31">
        <v>0</v>
      </c>
      <c r="K894" s="33">
        <v>0</v>
      </c>
      <c r="L894" s="31">
        <v>0</v>
      </c>
      <c r="M894" s="31">
        <v>794.3</v>
      </c>
      <c r="N894" s="31">
        <v>3622066.31</v>
      </c>
      <c r="O894" s="31">
        <v>0</v>
      </c>
      <c r="P894" s="31">
        <v>0</v>
      </c>
      <c r="Q894" s="31">
        <v>0</v>
      </c>
      <c r="R894" s="31">
        <v>0</v>
      </c>
      <c r="S894" s="31">
        <v>0</v>
      </c>
      <c r="T894" s="31">
        <v>0</v>
      </c>
      <c r="U894" s="31">
        <v>0</v>
      </c>
      <c r="V894" s="31">
        <v>0</v>
      </c>
      <c r="W894" s="31">
        <v>0</v>
      </c>
      <c r="X894" s="31">
        <v>0</v>
      </c>
      <c r="Y894" s="31">
        <v>0</v>
      </c>
      <c r="Z894" s="31">
        <v>0</v>
      </c>
      <c r="AA894" s="31">
        <v>0</v>
      </c>
      <c r="AB894" s="31">
        <v>0</v>
      </c>
      <c r="AC894" s="31">
        <f>ROUND(N894*1.5%,2)</f>
        <v>54330.99</v>
      </c>
      <c r="AD894" s="31">
        <v>150000</v>
      </c>
      <c r="AE894" s="31">
        <v>0</v>
      </c>
      <c r="AF894" s="34">
        <v>2021</v>
      </c>
      <c r="AG894" s="34">
        <v>2021</v>
      </c>
      <c r="AH894" s="35">
        <v>2021</v>
      </c>
      <c r="AT894" s="20" t="e">
        <f t="shared" si="192"/>
        <v>#N/A</v>
      </c>
      <c r="BZ894" s="71"/>
      <c r="CD894" s="20" t="e">
        <f t="shared" si="170"/>
        <v>#N/A</v>
      </c>
    </row>
    <row r="895" spans="1:82" ht="61.5" x14ac:dyDescent="0.85">
      <c r="B895" s="24" t="s">
        <v>867</v>
      </c>
      <c r="C895" s="24"/>
      <c r="D895" s="31">
        <f t="shared" ref="D895:AE895" si="198">D896</f>
        <v>5858309.4800000004</v>
      </c>
      <c r="E895" s="31">
        <f t="shared" si="198"/>
        <v>0</v>
      </c>
      <c r="F895" s="31">
        <f t="shared" si="198"/>
        <v>0</v>
      </c>
      <c r="G895" s="31">
        <f t="shared" si="198"/>
        <v>0</v>
      </c>
      <c r="H895" s="31">
        <f t="shared" si="198"/>
        <v>0</v>
      </c>
      <c r="I895" s="31">
        <f t="shared" si="198"/>
        <v>0</v>
      </c>
      <c r="J895" s="31">
        <f t="shared" si="198"/>
        <v>0</v>
      </c>
      <c r="K895" s="33">
        <f t="shared" si="198"/>
        <v>0</v>
      </c>
      <c r="L895" s="31">
        <f t="shared" si="198"/>
        <v>0</v>
      </c>
      <c r="M895" s="31">
        <f t="shared" si="198"/>
        <v>1576</v>
      </c>
      <c r="N895" s="31">
        <f t="shared" si="198"/>
        <v>5594393.5800000001</v>
      </c>
      <c r="O895" s="31">
        <f t="shared" si="198"/>
        <v>0</v>
      </c>
      <c r="P895" s="31">
        <f t="shared" si="198"/>
        <v>0</v>
      </c>
      <c r="Q895" s="31">
        <f t="shared" si="198"/>
        <v>0</v>
      </c>
      <c r="R895" s="31">
        <f t="shared" si="198"/>
        <v>0</v>
      </c>
      <c r="S895" s="31">
        <f t="shared" si="198"/>
        <v>0</v>
      </c>
      <c r="T895" s="31">
        <f t="shared" si="198"/>
        <v>0</v>
      </c>
      <c r="U895" s="31">
        <f t="shared" si="198"/>
        <v>0</v>
      </c>
      <c r="V895" s="31">
        <f t="shared" si="198"/>
        <v>0</v>
      </c>
      <c r="W895" s="31">
        <f t="shared" si="198"/>
        <v>0</v>
      </c>
      <c r="X895" s="31">
        <f t="shared" si="198"/>
        <v>0</v>
      </c>
      <c r="Y895" s="31">
        <f t="shared" si="198"/>
        <v>0</v>
      </c>
      <c r="Z895" s="31">
        <f t="shared" si="198"/>
        <v>0</v>
      </c>
      <c r="AA895" s="31">
        <f t="shared" si="198"/>
        <v>0</v>
      </c>
      <c r="AB895" s="31">
        <f t="shared" si="198"/>
        <v>0</v>
      </c>
      <c r="AC895" s="31">
        <f t="shared" si="198"/>
        <v>83915.9</v>
      </c>
      <c r="AD895" s="31">
        <f t="shared" si="198"/>
        <v>180000</v>
      </c>
      <c r="AE895" s="31">
        <f t="shared" si="198"/>
        <v>0</v>
      </c>
      <c r="AF895" s="72" t="s">
        <v>776</v>
      </c>
      <c r="AG895" s="72" t="s">
        <v>776</v>
      </c>
      <c r="AH895" s="88" t="s">
        <v>776</v>
      </c>
      <c r="AT895" s="20" t="e">
        <f t="shared" si="192"/>
        <v>#N/A</v>
      </c>
      <c r="BZ895" s="71">
        <v>5858309.4800000004</v>
      </c>
      <c r="CD895" s="20" t="e">
        <f t="shared" ref="CD895:CD958" si="199">VLOOKUP(C895,CE:CF,2,FALSE)</f>
        <v>#N/A</v>
      </c>
    </row>
    <row r="896" spans="1:82" ht="61.5" x14ac:dyDescent="0.85">
      <c r="A896" s="20">
        <v>1</v>
      </c>
      <c r="B896" s="66">
        <f>SUBTOTAL(103,$A$552:A896)</f>
        <v>311</v>
      </c>
      <c r="C896" s="24" t="s">
        <v>41</v>
      </c>
      <c r="D896" s="31">
        <f>E896+F896+G896+H896+I896+J896+L896+N896+P896+R896+T896+U896+V896+W896+X896+Y896+Z896+AA896+AB896+AC896+AD896+AE896</f>
        <v>5858309.4800000004</v>
      </c>
      <c r="E896" s="31">
        <v>0</v>
      </c>
      <c r="F896" s="31">
        <v>0</v>
      </c>
      <c r="G896" s="31">
        <v>0</v>
      </c>
      <c r="H896" s="31">
        <v>0</v>
      </c>
      <c r="I896" s="31">
        <v>0</v>
      </c>
      <c r="J896" s="31">
        <v>0</v>
      </c>
      <c r="K896" s="33">
        <v>0</v>
      </c>
      <c r="L896" s="31">
        <v>0</v>
      </c>
      <c r="M896" s="31">
        <v>1576</v>
      </c>
      <c r="N896" s="31">
        <v>5594393.5800000001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f>ROUND(N896*1.5%,2)</f>
        <v>83915.9</v>
      </c>
      <c r="AD896" s="31">
        <v>180000</v>
      </c>
      <c r="AE896" s="31">
        <v>0</v>
      </c>
      <c r="AF896" s="34">
        <v>2021</v>
      </c>
      <c r="AG896" s="34">
        <v>2021</v>
      </c>
      <c r="AH896" s="35">
        <v>2021</v>
      </c>
      <c r="AT896" s="20" t="e">
        <f t="shared" si="192"/>
        <v>#N/A</v>
      </c>
      <c r="BZ896" s="71"/>
      <c r="CD896" s="20" t="e">
        <f t="shared" si="199"/>
        <v>#N/A</v>
      </c>
    </row>
    <row r="897" spans="1:86" ht="61.5" x14ac:dyDescent="0.85">
      <c r="B897" s="24" t="s">
        <v>901</v>
      </c>
      <c r="C897" s="24"/>
      <c r="D897" s="31">
        <f t="shared" ref="D897:AE899" si="200">D898</f>
        <v>3274450.4</v>
      </c>
      <c r="E897" s="31">
        <f t="shared" si="200"/>
        <v>0</v>
      </c>
      <c r="F897" s="31">
        <f t="shared" si="200"/>
        <v>0</v>
      </c>
      <c r="G897" s="31">
        <f t="shared" si="200"/>
        <v>0</v>
      </c>
      <c r="H897" s="31">
        <f t="shared" si="200"/>
        <v>0</v>
      </c>
      <c r="I897" s="31">
        <f t="shared" si="200"/>
        <v>0</v>
      </c>
      <c r="J897" s="31">
        <f t="shared" si="200"/>
        <v>0</v>
      </c>
      <c r="K897" s="33">
        <f t="shared" si="200"/>
        <v>0</v>
      </c>
      <c r="L897" s="31">
        <f t="shared" si="200"/>
        <v>0</v>
      </c>
      <c r="M897" s="31">
        <f t="shared" si="200"/>
        <v>609.79999999999995</v>
      </c>
      <c r="N897" s="31">
        <f t="shared" si="200"/>
        <v>3078276.26</v>
      </c>
      <c r="O897" s="31">
        <f t="shared" si="200"/>
        <v>0</v>
      </c>
      <c r="P897" s="31">
        <f t="shared" si="200"/>
        <v>0</v>
      </c>
      <c r="Q897" s="31">
        <f t="shared" si="200"/>
        <v>0</v>
      </c>
      <c r="R897" s="31">
        <f t="shared" si="200"/>
        <v>0</v>
      </c>
      <c r="S897" s="31">
        <f t="shared" si="200"/>
        <v>0</v>
      </c>
      <c r="T897" s="31">
        <f t="shared" si="200"/>
        <v>0</v>
      </c>
      <c r="U897" s="31">
        <f t="shared" si="200"/>
        <v>0</v>
      </c>
      <c r="V897" s="31">
        <f t="shared" si="200"/>
        <v>0</v>
      </c>
      <c r="W897" s="31">
        <f t="shared" si="200"/>
        <v>0</v>
      </c>
      <c r="X897" s="31">
        <f t="shared" si="200"/>
        <v>0</v>
      </c>
      <c r="Y897" s="31">
        <f t="shared" si="200"/>
        <v>0</v>
      </c>
      <c r="Z897" s="31">
        <f t="shared" si="200"/>
        <v>0</v>
      </c>
      <c r="AA897" s="31">
        <f t="shared" si="200"/>
        <v>0</v>
      </c>
      <c r="AB897" s="31">
        <f t="shared" si="200"/>
        <v>0</v>
      </c>
      <c r="AC897" s="31">
        <f t="shared" si="200"/>
        <v>46174.14</v>
      </c>
      <c r="AD897" s="31">
        <f t="shared" si="200"/>
        <v>150000</v>
      </c>
      <c r="AE897" s="31">
        <f t="shared" si="200"/>
        <v>0</v>
      </c>
      <c r="AF897" s="72" t="s">
        <v>776</v>
      </c>
      <c r="AG897" s="72" t="s">
        <v>776</v>
      </c>
      <c r="AH897" s="88" t="s">
        <v>776</v>
      </c>
      <c r="AT897" s="20" t="e">
        <f t="shared" si="192"/>
        <v>#N/A</v>
      </c>
      <c r="BZ897" s="71">
        <v>3274450.4</v>
      </c>
      <c r="CD897" s="20" t="e">
        <f t="shared" si="199"/>
        <v>#N/A</v>
      </c>
    </row>
    <row r="898" spans="1:86" ht="61.5" x14ac:dyDescent="0.85">
      <c r="A898" s="20">
        <v>1</v>
      </c>
      <c r="B898" s="66">
        <f>SUBTOTAL(103,$A$552:A898)</f>
        <v>312</v>
      </c>
      <c r="C898" s="24" t="s">
        <v>55</v>
      </c>
      <c r="D898" s="31">
        <f>E898+F898+G898+H898+I898+J898+L898+N898+P898+R898+T898+U898+V898+W898+X898+Y898+Z898+AA898+AB898+AC898+AD898+AE898</f>
        <v>3274450.4</v>
      </c>
      <c r="E898" s="31">
        <v>0</v>
      </c>
      <c r="F898" s="31">
        <v>0</v>
      </c>
      <c r="G898" s="31">
        <v>0</v>
      </c>
      <c r="H898" s="31">
        <v>0</v>
      </c>
      <c r="I898" s="31">
        <v>0</v>
      </c>
      <c r="J898" s="31">
        <v>0</v>
      </c>
      <c r="K898" s="33">
        <v>0</v>
      </c>
      <c r="L898" s="31">
        <v>0</v>
      </c>
      <c r="M898" s="31">
        <v>609.79999999999995</v>
      </c>
      <c r="N898" s="31">
        <v>3078276.26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1">
        <f>ROUND(N898*1.5%,2)</f>
        <v>46174.14</v>
      </c>
      <c r="AD898" s="31">
        <v>150000</v>
      </c>
      <c r="AE898" s="31">
        <v>0</v>
      </c>
      <c r="AF898" s="34">
        <v>2021</v>
      </c>
      <c r="AG898" s="34">
        <v>2021</v>
      </c>
      <c r="AH898" s="35">
        <v>2021</v>
      </c>
      <c r="AT898" s="20" t="e">
        <f t="shared" si="192"/>
        <v>#N/A</v>
      </c>
      <c r="BZ898" s="71"/>
      <c r="CD898" s="20" t="e">
        <f t="shared" si="199"/>
        <v>#N/A</v>
      </c>
    </row>
    <row r="899" spans="1:86" s="155" customFormat="1" ht="61.5" x14ac:dyDescent="0.85">
      <c r="A899" s="20"/>
      <c r="B899" s="24" t="s">
        <v>908</v>
      </c>
      <c r="C899" s="24"/>
      <c r="D899" s="31">
        <f t="shared" si="200"/>
        <v>3707032</v>
      </c>
      <c r="E899" s="31">
        <f t="shared" si="200"/>
        <v>0</v>
      </c>
      <c r="F899" s="31">
        <f t="shared" si="200"/>
        <v>0</v>
      </c>
      <c r="G899" s="31">
        <f t="shared" si="200"/>
        <v>0</v>
      </c>
      <c r="H899" s="31">
        <f t="shared" si="200"/>
        <v>0</v>
      </c>
      <c r="I899" s="31">
        <f t="shared" si="200"/>
        <v>0</v>
      </c>
      <c r="J899" s="31">
        <f t="shared" si="200"/>
        <v>0</v>
      </c>
      <c r="K899" s="33">
        <f t="shared" si="200"/>
        <v>0</v>
      </c>
      <c r="L899" s="31">
        <f t="shared" si="200"/>
        <v>0</v>
      </c>
      <c r="M899" s="31">
        <f t="shared" si="200"/>
        <v>0</v>
      </c>
      <c r="N899" s="31">
        <f t="shared" si="200"/>
        <v>0</v>
      </c>
      <c r="O899" s="31">
        <f t="shared" si="200"/>
        <v>0</v>
      </c>
      <c r="P899" s="31">
        <f t="shared" si="200"/>
        <v>0</v>
      </c>
      <c r="Q899" s="31">
        <f t="shared" si="200"/>
        <v>560</v>
      </c>
      <c r="R899" s="31">
        <f t="shared" si="200"/>
        <v>3504465.02</v>
      </c>
      <c r="S899" s="31">
        <f t="shared" si="200"/>
        <v>0</v>
      </c>
      <c r="T899" s="31">
        <f t="shared" si="200"/>
        <v>0</v>
      </c>
      <c r="U899" s="31">
        <f t="shared" si="200"/>
        <v>0</v>
      </c>
      <c r="V899" s="31">
        <f t="shared" si="200"/>
        <v>0</v>
      </c>
      <c r="W899" s="31">
        <f t="shared" si="200"/>
        <v>0</v>
      </c>
      <c r="X899" s="31">
        <f t="shared" si="200"/>
        <v>0</v>
      </c>
      <c r="Y899" s="31">
        <f t="shared" si="200"/>
        <v>0</v>
      </c>
      <c r="Z899" s="31">
        <f t="shared" si="200"/>
        <v>0</v>
      </c>
      <c r="AA899" s="31">
        <f t="shared" si="200"/>
        <v>0</v>
      </c>
      <c r="AB899" s="31">
        <f t="shared" si="200"/>
        <v>0</v>
      </c>
      <c r="AC899" s="31">
        <f t="shared" si="200"/>
        <v>52566.98</v>
      </c>
      <c r="AD899" s="31">
        <f t="shared" si="200"/>
        <v>150000</v>
      </c>
      <c r="AE899" s="31">
        <f t="shared" si="200"/>
        <v>0</v>
      </c>
      <c r="AF899" s="72" t="s">
        <v>776</v>
      </c>
      <c r="AG899" s="72" t="s">
        <v>776</v>
      </c>
      <c r="AH899" s="88" t="s">
        <v>776</v>
      </c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 t="e">
        <f t="shared" si="192"/>
        <v>#N/A</v>
      </c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Z899" s="71">
        <v>3274450.4</v>
      </c>
      <c r="CA899" s="20"/>
      <c r="CB899" s="20"/>
      <c r="CC899" s="20"/>
      <c r="CD899" s="20" t="e">
        <f t="shared" si="199"/>
        <v>#N/A</v>
      </c>
      <c r="CE899" s="20"/>
      <c r="CF899" s="20"/>
      <c r="CG899" s="20"/>
      <c r="CH899" s="20"/>
    </row>
    <row r="900" spans="1:86" s="155" customFormat="1" ht="61.5" x14ac:dyDescent="0.85">
      <c r="A900" s="155">
        <v>1</v>
      </c>
      <c r="B900" s="66">
        <f>SUBTOTAL(103,$A$552:A900)</f>
        <v>313</v>
      </c>
      <c r="C900" s="24" t="s">
        <v>1733</v>
      </c>
      <c r="D900" s="31">
        <f>E900+F900+G900+H900+I900+J900+L900+N900+P900+R900+T900+U900+V900+W900+X900+Y900+Z900+AA900+AB900+AC900+AD900+AE900</f>
        <v>3707032</v>
      </c>
      <c r="E900" s="31">
        <v>0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3">
        <v>0</v>
      </c>
      <c r="L900" s="31">
        <v>0</v>
      </c>
      <c r="M900" s="31">
        <v>0</v>
      </c>
      <c r="N900" s="31">
        <v>0</v>
      </c>
      <c r="O900" s="31">
        <v>0</v>
      </c>
      <c r="P900" s="31">
        <v>0</v>
      </c>
      <c r="Q900" s="31">
        <v>560</v>
      </c>
      <c r="R900" s="31">
        <v>3504465.02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1">
        <v>0</v>
      </c>
      <c r="Y900" s="31">
        <v>0</v>
      </c>
      <c r="Z900" s="31">
        <v>0</v>
      </c>
      <c r="AA900" s="31">
        <v>0</v>
      </c>
      <c r="AB900" s="31">
        <v>0</v>
      </c>
      <c r="AC900" s="31">
        <f>ROUND(R900*1.5%,2)</f>
        <v>52566.98</v>
      </c>
      <c r="AD900" s="31">
        <v>150000</v>
      </c>
      <c r="AE900" s="31">
        <v>0</v>
      </c>
      <c r="AF900" s="34">
        <v>2021</v>
      </c>
      <c r="AG900" s="34">
        <v>2021</v>
      </c>
      <c r="AH900" s="35">
        <v>2021</v>
      </c>
      <c r="AI900" s="20"/>
      <c r="AJ900" s="20"/>
      <c r="AK900" s="20"/>
      <c r="AL900" s="20"/>
      <c r="AT900" s="155" t="e">
        <f t="shared" si="192"/>
        <v>#N/A</v>
      </c>
      <c r="BZ900" s="156"/>
      <c r="CD900" s="155" t="e">
        <f t="shared" si="199"/>
        <v>#N/A</v>
      </c>
    </row>
    <row r="901" spans="1:86" ht="61.5" x14ac:dyDescent="0.85">
      <c r="B901" s="24" t="s">
        <v>868</v>
      </c>
      <c r="C901" s="24"/>
      <c r="D901" s="31">
        <f>SUM(D902:D904)</f>
        <v>12199052.439999999</v>
      </c>
      <c r="E901" s="31">
        <f t="shared" ref="E901:AE901" si="201">SUM(E902:E904)</f>
        <v>0</v>
      </c>
      <c r="F901" s="31">
        <f t="shared" si="201"/>
        <v>0</v>
      </c>
      <c r="G901" s="31">
        <f t="shared" si="201"/>
        <v>3177624.7</v>
      </c>
      <c r="H901" s="31">
        <f t="shared" si="201"/>
        <v>1177032.5</v>
      </c>
      <c r="I901" s="31">
        <f t="shared" si="201"/>
        <v>0</v>
      </c>
      <c r="J901" s="31">
        <f t="shared" si="201"/>
        <v>0</v>
      </c>
      <c r="K901" s="33">
        <f t="shared" si="201"/>
        <v>0</v>
      </c>
      <c r="L901" s="31">
        <f t="shared" si="201"/>
        <v>0</v>
      </c>
      <c r="M901" s="31">
        <f t="shared" si="201"/>
        <v>1328.6</v>
      </c>
      <c r="N901" s="31">
        <f t="shared" si="201"/>
        <v>7102537.3200000003</v>
      </c>
      <c r="O901" s="31">
        <f t="shared" si="201"/>
        <v>0</v>
      </c>
      <c r="P901" s="31">
        <f t="shared" si="201"/>
        <v>0</v>
      </c>
      <c r="Q901" s="31">
        <f t="shared" si="201"/>
        <v>0</v>
      </c>
      <c r="R901" s="31">
        <f t="shared" si="201"/>
        <v>0</v>
      </c>
      <c r="S901" s="31">
        <f t="shared" si="201"/>
        <v>0</v>
      </c>
      <c r="T901" s="31">
        <f t="shared" si="201"/>
        <v>0</v>
      </c>
      <c r="U901" s="31">
        <f t="shared" si="201"/>
        <v>0</v>
      </c>
      <c r="V901" s="31">
        <f t="shared" si="201"/>
        <v>0</v>
      </c>
      <c r="W901" s="31">
        <f t="shared" si="201"/>
        <v>0</v>
      </c>
      <c r="X901" s="31">
        <f t="shared" si="201"/>
        <v>0</v>
      </c>
      <c r="Y901" s="31">
        <f t="shared" si="201"/>
        <v>0</v>
      </c>
      <c r="Z901" s="31">
        <f t="shared" si="201"/>
        <v>0</v>
      </c>
      <c r="AA901" s="31">
        <f t="shared" si="201"/>
        <v>0</v>
      </c>
      <c r="AB901" s="31">
        <f t="shared" si="201"/>
        <v>0</v>
      </c>
      <c r="AC901" s="31">
        <f t="shared" si="201"/>
        <v>171857.92000000001</v>
      </c>
      <c r="AD901" s="31">
        <f t="shared" si="201"/>
        <v>570000</v>
      </c>
      <c r="AE901" s="31">
        <f t="shared" si="201"/>
        <v>0</v>
      </c>
      <c r="AF901" s="72" t="s">
        <v>776</v>
      </c>
      <c r="AG901" s="72" t="s">
        <v>776</v>
      </c>
      <c r="AH901" s="88" t="s">
        <v>776</v>
      </c>
      <c r="AT901" s="20" t="e">
        <f t="shared" si="192"/>
        <v>#N/A</v>
      </c>
      <c r="BZ901" s="71">
        <v>12199052.439999999</v>
      </c>
      <c r="CD901" s="20" t="e">
        <f t="shared" si="199"/>
        <v>#N/A</v>
      </c>
    </row>
    <row r="902" spans="1:86" ht="61.5" x14ac:dyDescent="0.85">
      <c r="A902" s="20">
        <v>1</v>
      </c>
      <c r="B902" s="66">
        <f>SUBTOTAL(103,$A$552:A902)</f>
        <v>314</v>
      </c>
      <c r="C902" s="24" t="s">
        <v>56</v>
      </c>
      <c r="D902" s="31">
        <f>E902+F902+G902+H902+I902+J902+L902+N902+P902+R902+T902+U902+V902+W902+X902+Y902+Z902+AA902+AB902+AC902+AD902+AE902</f>
        <v>4719977.0600000005</v>
      </c>
      <c r="E902" s="31">
        <v>0</v>
      </c>
      <c r="F902" s="31">
        <v>0</v>
      </c>
      <c r="G902" s="31">
        <v>3177624.7</v>
      </c>
      <c r="H902" s="31">
        <v>1177032.5</v>
      </c>
      <c r="I902" s="31">
        <v>0</v>
      </c>
      <c r="J902" s="31">
        <v>0</v>
      </c>
      <c r="K902" s="33">
        <v>0</v>
      </c>
      <c r="L902" s="31">
        <v>0</v>
      </c>
      <c r="M902" s="31">
        <v>0</v>
      </c>
      <c r="N902" s="31">
        <v>0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0</v>
      </c>
      <c r="U902" s="31">
        <v>0</v>
      </c>
      <c r="V902" s="31">
        <v>0</v>
      </c>
      <c r="W902" s="31">
        <v>0</v>
      </c>
      <c r="X902" s="31">
        <v>0</v>
      </c>
      <c r="Y902" s="31">
        <v>0</v>
      </c>
      <c r="Z902" s="31">
        <v>0</v>
      </c>
      <c r="AA902" s="31">
        <v>0</v>
      </c>
      <c r="AB902" s="31">
        <v>0</v>
      </c>
      <c r="AC902" s="31">
        <f>ROUND((E902+F902+G902+H902+I902+J902)*1.5%,2)</f>
        <v>65319.86</v>
      </c>
      <c r="AD902" s="31">
        <v>300000</v>
      </c>
      <c r="AE902" s="31">
        <v>0</v>
      </c>
      <c r="AF902" s="34">
        <v>2021</v>
      </c>
      <c r="AG902" s="34">
        <v>2021</v>
      </c>
      <c r="AH902" s="35">
        <v>2021</v>
      </c>
      <c r="AT902" s="20" t="e">
        <f t="shared" si="192"/>
        <v>#N/A</v>
      </c>
      <c r="BZ902" s="71"/>
      <c r="CD902" s="20" t="e">
        <f t="shared" si="199"/>
        <v>#N/A</v>
      </c>
    </row>
    <row r="903" spans="1:86" ht="61.5" x14ac:dyDescent="0.85">
      <c r="A903" s="20">
        <v>1</v>
      </c>
      <c r="B903" s="66">
        <f>SUBTOTAL(103,$A$552:A903)</f>
        <v>315</v>
      </c>
      <c r="C903" s="24" t="s">
        <v>46</v>
      </c>
      <c r="D903" s="31">
        <f>E903+F903+G903+H903+I903+J903+L903+N903+P903+R903+T903+U903+V903+W903+X903+Y903+Z903+AA903+AB903+AC903+AD903+AE903</f>
        <v>3947511.93</v>
      </c>
      <c r="E903" s="31">
        <v>0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3">
        <v>0</v>
      </c>
      <c r="L903" s="31">
        <v>0</v>
      </c>
      <c r="M903" s="31">
        <v>716.7</v>
      </c>
      <c r="N903" s="31">
        <v>3741391.06</v>
      </c>
      <c r="O903" s="31">
        <v>0</v>
      </c>
      <c r="P903" s="31">
        <v>0</v>
      </c>
      <c r="Q903" s="31">
        <v>0</v>
      </c>
      <c r="R903" s="31">
        <v>0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1">
        <v>0</v>
      </c>
      <c r="Y903" s="31">
        <v>0</v>
      </c>
      <c r="Z903" s="31">
        <v>0</v>
      </c>
      <c r="AA903" s="31">
        <v>0</v>
      </c>
      <c r="AB903" s="31">
        <v>0</v>
      </c>
      <c r="AC903" s="31">
        <f>ROUND(N903*1.5%,2)</f>
        <v>56120.87</v>
      </c>
      <c r="AD903" s="31">
        <v>150000</v>
      </c>
      <c r="AE903" s="31">
        <v>0</v>
      </c>
      <c r="AF903" s="34">
        <v>2021</v>
      </c>
      <c r="AG903" s="34">
        <v>2021</v>
      </c>
      <c r="AH903" s="35">
        <v>2021</v>
      </c>
      <c r="AT903" s="20" t="e">
        <f t="shared" si="192"/>
        <v>#N/A</v>
      </c>
      <c r="BZ903" s="71"/>
      <c r="CD903" s="20" t="e">
        <f t="shared" si="199"/>
        <v>#N/A</v>
      </c>
    </row>
    <row r="904" spans="1:86" ht="61.5" x14ac:dyDescent="0.85">
      <c r="A904" s="20">
        <v>1</v>
      </c>
      <c r="B904" s="66">
        <f>SUBTOTAL(103,$A$552:A904)</f>
        <v>316</v>
      </c>
      <c r="C904" s="24" t="s">
        <v>1644</v>
      </c>
      <c r="D904" s="31">
        <f>E904+F904+G904+H904+I904+J904+L904+N904+P904+R904+T904+U904+V904+W904+X904+Y904+Z904+AA904+AB904+AC904+AD904+AE904</f>
        <v>3531563.4499999997</v>
      </c>
      <c r="E904" s="31">
        <v>0</v>
      </c>
      <c r="F904" s="31">
        <v>0</v>
      </c>
      <c r="G904" s="31">
        <v>0</v>
      </c>
      <c r="H904" s="31">
        <v>0</v>
      </c>
      <c r="I904" s="31">
        <v>0</v>
      </c>
      <c r="J904" s="31">
        <v>0</v>
      </c>
      <c r="K904" s="33">
        <v>0</v>
      </c>
      <c r="L904" s="31">
        <v>0</v>
      </c>
      <c r="M904" s="31">
        <v>611.9</v>
      </c>
      <c r="N904" s="31">
        <f>3000000+361146.26</f>
        <v>3361146.26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31">
        <v>0</v>
      </c>
      <c r="W904" s="31">
        <v>0</v>
      </c>
      <c r="X904" s="31">
        <v>0</v>
      </c>
      <c r="Y904" s="31">
        <v>0</v>
      </c>
      <c r="Z904" s="31">
        <v>0</v>
      </c>
      <c r="AA904" s="31">
        <v>0</v>
      </c>
      <c r="AB904" s="31">
        <v>0</v>
      </c>
      <c r="AC904" s="31">
        <f>ROUND(N904*1.5%,2)</f>
        <v>50417.19</v>
      </c>
      <c r="AD904" s="31">
        <v>120000</v>
      </c>
      <c r="AE904" s="31">
        <v>0</v>
      </c>
      <c r="AF904" s="34">
        <v>2021</v>
      </c>
      <c r="AG904" s="34">
        <v>2021</v>
      </c>
      <c r="AH904" s="35">
        <v>2021</v>
      </c>
      <c r="BZ904" s="71"/>
      <c r="CD904" s="20" t="e">
        <f t="shared" si="199"/>
        <v>#N/A</v>
      </c>
    </row>
    <row r="905" spans="1:86" ht="61.5" x14ac:dyDescent="0.85">
      <c r="B905" s="24" t="s">
        <v>869</v>
      </c>
      <c r="C905" s="24"/>
      <c r="D905" s="31">
        <f>SUM(D906:D907)</f>
        <v>10328843.960000001</v>
      </c>
      <c r="E905" s="31">
        <f t="shared" ref="E905:AE905" si="202">SUM(E906:E907)</f>
        <v>0</v>
      </c>
      <c r="F905" s="31">
        <f t="shared" si="202"/>
        <v>0</v>
      </c>
      <c r="G905" s="31">
        <f t="shared" si="202"/>
        <v>0</v>
      </c>
      <c r="H905" s="31">
        <f t="shared" si="202"/>
        <v>0</v>
      </c>
      <c r="I905" s="31">
        <f t="shared" si="202"/>
        <v>0</v>
      </c>
      <c r="J905" s="31">
        <f t="shared" si="202"/>
        <v>0</v>
      </c>
      <c r="K905" s="33">
        <f t="shared" si="202"/>
        <v>0</v>
      </c>
      <c r="L905" s="31">
        <f t="shared" si="202"/>
        <v>0</v>
      </c>
      <c r="M905" s="31">
        <f t="shared" si="202"/>
        <v>2246.4</v>
      </c>
      <c r="N905" s="31">
        <f t="shared" si="202"/>
        <v>9821521.1400000006</v>
      </c>
      <c r="O905" s="31">
        <f t="shared" si="202"/>
        <v>0</v>
      </c>
      <c r="P905" s="31">
        <f t="shared" si="202"/>
        <v>0</v>
      </c>
      <c r="Q905" s="31">
        <f t="shared" si="202"/>
        <v>0</v>
      </c>
      <c r="R905" s="31">
        <f t="shared" si="202"/>
        <v>0</v>
      </c>
      <c r="S905" s="31">
        <f t="shared" si="202"/>
        <v>0</v>
      </c>
      <c r="T905" s="31">
        <f t="shared" si="202"/>
        <v>0</v>
      </c>
      <c r="U905" s="31">
        <f t="shared" si="202"/>
        <v>0</v>
      </c>
      <c r="V905" s="31">
        <f t="shared" si="202"/>
        <v>0</v>
      </c>
      <c r="W905" s="31">
        <f t="shared" si="202"/>
        <v>0</v>
      </c>
      <c r="X905" s="31">
        <f t="shared" si="202"/>
        <v>0</v>
      </c>
      <c r="Y905" s="31">
        <f t="shared" si="202"/>
        <v>0</v>
      </c>
      <c r="Z905" s="31">
        <f t="shared" si="202"/>
        <v>0</v>
      </c>
      <c r="AA905" s="31">
        <f t="shared" si="202"/>
        <v>0</v>
      </c>
      <c r="AB905" s="31">
        <f t="shared" si="202"/>
        <v>0</v>
      </c>
      <c r="AC905" s="31">
        <f t="shared" si="202"/>
        <v>147322.82</v>
      </c>
      <c r="AD905" s="31">
        <f t="shared" si="202"/>
        <v>360000</v>
      </c>
      <c r="AE905" s="31">
        <f t="shared" si="202"/>
        <v>0</v>
      </c>
      <c r="AF905" s="72" t="s">
        <v>776</v>
      </c>
      <c r="AG905" s="72" t="s">
        <v>776</v>
      </c>
      <c r="AH905" s="88" t="s">
        <v>776</v>
      </c>
      <c r="AT905" s="20" t="e">
        <f t="shared" ref="AT905:AT935" si="203">VLOOKUP(C905,AW:AX,2,FALSE)</f>
        <v>#N/A</v>
      </c>
      <c r="BZ905" s="71">
        <v>7408727.5099999998</v>
      </c>
      <c r="CD905" s="20" t="e">
        <f t="shared" si="199"/>
        <v>#N/A</v>
      </c>
    </row>
    <row r="906" spans="1:86" ht="61.5" x14ac:dyDescent="0.85">
      <c r="A906" s="20">
        <v>1</v>
      </c>
      <c r="B906" s="66">
        <f>SUBTOTAL(103,$A$552:A906)</f>
        <v>317</v>
      </c>
      <c r="C906" s="24" t="s">
        <v>54</v>
      </c>
      <c r="D906" s="31">
        <f>E906+F906+G906+H906+I906+J906+L906+N906+P906+R906+T906+U906+V906+W906+X906+Y906+Z906+AA906+AB906+AC906+AD906+AE906</f>
        <v>7408727.5099999998</v>
      </c>
      <c r="E906" s="31">
        <v>0</v>
      </c>
      <c r="F906" s="31">
        <v>0</v>
      </c>
      <c r="G906" s="31">
        <v>0</v>
      </c>
      <c r="H906" s="31">
        <v>0</v>
      </c>
      <c r="I906" s="31">
        <v>0</v>
      </c>
      <c r="J906" s="31">
        <v>0</v>
      </c>
      <c r="K906" s="33">
        <v>0</v>
      </c>
      <c r="L906" s="31">
        <v>0</v>
      </c>
      <c r="M906" s="31">
        <v>1669.2</v>
      </c>
      <c r="N906" s="31">
        <v>7121899.0199999996</v>
      </c>
      <c r="O906" s="31">
        <v>0</v>
      </c>
      <c r="P906" s="31">
        <v>0</v>
      </c>
      <c r="Q906" s="31">
        <v>0</v>
      </c>
      <c r="R906" s="31">
        <v>0</v>
      </c>
      <c r="S906" s="31">
        <v>0</v>
      </c>
      <c r="T906" s="31">
        <v>0</v>
      </c>
      <c r="U906" s="31">
        <v>0</v>
      </c>
      <c r="V906" s="31">
        <v>0</v>
      </c>
      <c r="W906" s="31">
        <v>0</v>
      </c>
      <c r="X906" s="31">
        <v>0</v>
      </c>
      <c r="Y906" s="31">
        <v>0</v>
      </c>
      <c r="Z906" s="31">
        <v>0</v>
      </c>
      <c r="AA906" s="31">
        <v>0</v>
      </c>
      <c r="AB906" s="31">
        <v>0</v>
      </c>
      <c r="AC906" s="31">
        <f>ROUND(N906*1.5%,2)</f>
        <v>106828.49</v>
      </c>
      <c r="AD906" s="31">
        <v>180000</v>
      </c>
      <c r="AE906" s="31">
        <v>0</v>
      </c>
      <c r="AF906" s="34">
        <v>2021</v>
      </c>
      <c r="AG906" s="34">
        <v>2021</v>
      </c>
      <c r="AH906" s="35">
        <v>2021</v>
      </c>
      <c r="AT906" s="20" t="e">
        <f t="shared" si="203"/>
        <v>#N/A</v>
      </c>
      <c r="BZ906" s="71"/>
      <c r="CD906" s="20" t="e">
        <f t="shared" si="199"/>
        <v>#N/A</v>
      </c>
    </row>
    <row r="907" spans="1:86" ht="61.5" x14ac:dyDescent="0.85">
      <c r="A907" s="20">
        <v>1</v>
      </c>
      <c r="B907" s="66">
        <f>SUBTOTAL(103,$A$552:A907)</f>
        <v>318</v>
      </c>
      <c r="C907" s="24" t="s">
        <v>1732</v>
      </c>
      <c r="D907" s="31">
        <f>E907+F907+G907+H907+I907+J907+L907+N907+P907+R907+T907+U907+V907+W907+X907+Y907+Z907+AA907+AB907+AC907+AD907+AE907</f>
        <v>2920116.45</v>
      </c>
      <c r="E907" s="31">
        <v>0</v>
      </c>
      <c r="F907" s="31">
        <v>0</v>
      </c>
      <c r="G907" s="31">
        <v>0</v>
      </c>
      <c r="H907" s="31">
        <v>0</v>
      </c>
      <c r="I907" s="31">
        <v>0</v>
      </c>
      <c r="J907" s="31">
        <v>0</v>
      </c>
      <c r="K907" s="33">
        <v>0</v>
      </c>
      <c r="L907" s="31">
        <v>0</v>
      </c>
      <c r="M907" s="31">
        <v>577.20000000000005</v>
      </c>
      <c r="N907" s="31">
        <v>2699622.12</v>
      </c>
      <c r="O907" s="31">
        <v>0</v>
      </c>
      <c r="P907" s="31">
        <v>0</v>
      </c>
      <c r="Q907" s="31">
        <v>0</v>
      </c>
      <c r="R907" s="31">
        <v>0</v>
      </c>
      <c r="S907" s="31">
        <v>0</v>
      </c>
      <c r="T907" s="31">
        <v>0</v>
      </c>
      <c r="U907" s="31">
        <v>0</v>
      </c>
      <c r="V907" s="31">
        <v>0</v>
      </c>
      <c r="W907" s="31">
        <v>0</v>
      </c>
      <c r="X907" s="31">
        <v>0</v>
      </c>
      <c r="Y907" s="31">
        <v>0</v>
      </c>
      <c r="Z907" s="31">
        <v>0</v>
      </c>
      <c r="AA907" s="31">
        <v>0</v>
      </c>
      <c r="AB907" s="31">
        <v>0</v>
      </c>
      <c r="AC907" s="31">
        <f>ROUND(N907*1.5%,2)</f>
        <v>40494.33</v>
      </c>
      <c r="AD907" s="31">
        <v>180000</v>
      </c>
      <c r="AE907" s="31">
        <v>0</v>
      </c>
      <c r="AF907" s="34">
        <v>2021</v>
      </c>
      <c r="AG907" s="34">
        <v>2021</v>
      </c>
      <c r="AH907" s="35">
        <v>2021</v>
      </c>
      <c r="AT907" s="20" t="e">
        <f t="shared" si="203"/>
        <v>#N/A</v>
      </c>
      <c r="BZ907" s="71"/>
      <c r="CD907" s="20" t="e">
        <f t="shared" si="199"/>
        <v>#N/A</v>
      </c>
    </row>
    <row r="908" spans="1:86" ht="61.5" x14ac:dyDescent="0.85">
      <c r="B908" s="24" t="s">
        <v>870</v>
      </c>
      <c r="C908" s="24"/>
      <c r="D908" s="31">
        <f t="shared" ref="D908:AE908" si="204">D909</f>
        <v>2311215.4500000002</v>
      </c>
      <c r="E908" s="31">
        <f t="shared" si="204"/>
        <v>0</v>
      </c>
      <c r="F908" s="31">
        <f t="shared" si="204"/>
        <v>0</v>
      </c>
      <c r="G908" s="31">
        <f t="shared" si="204"/>
        <v>0</v>
      </c>
      <c r="H908" s="31">
        <f t="shared" si="204"/>
        <v>0</v>
      </c>
      <c r="I908" s="31">
        <f t="shared" si="204"/>
        <v>0</v>
      </c>
      <c r="J908" s="31">
        <f t="shared" si="204"/>
        <v>0</v>
      </c>
      <c r="K908" s="33">
        <f t="shared" si="204"/>
        <v>0</v>
      </c>
      <c r="L908" s="31">
        <f t="shared" si="204"/>
        <v>0</v>
      </c>
      <c r="M908" s="31">
        <f t="shared" si="204"/>
        <v>444</v>
      </c>
      <c r="N908" s="31">
        <f t="shared" si="204"/>
        <v>2158832.96</v>
      </c>
      <c r="O908" s="31">
        <f t="shared" si="204"/>
        <v>0</v>
      </c>
      <c r="P908" s="31">
        <f t="shared" si="204"/>
        <v>0</v>
      </c>
      <c r="Q908" s="31">
        <f t="shared" si="204"/>
        <v>0</v>
      </c>
      <c r="R908" s="31">
        <f t="shared" si="204"/>
        <v>0</v>
      </c>
      <c r="S908" s="31">
        <f t="shared" si="204"/>
        <v>0</v>
      </c>
      <c r="T908" s="31">
        <f t="shared" si="204"/>
        <v>0</v>
      </c>
      <c r="U908" s="31">
        <f t="shared" si="204"/>
        <v>0</v>
      </c>
      <c r="V908" s="31">
        <f t="shared" si="204"/>
        <v>0</v>
      </c>
      <c r="W908" s="31">
        <f t="shared" si="204"/>
        <v>0</v>
      </c>
      <c r="X908" s="31">
        <f t="shared" si="204"/>
        <v>0</v>
      </c>
      <c r="Y908" s="31">
        <f t="shared" si="204"/>
        <v>0</v>
      </c>
      <c r="Z908" s="31">
        <f t="shared" si="204"/>
        <v>0</v>
      </c>
      <c r="AA908" s="31">
        <f t="shared" si="204"/>
        <v>0</v>
      </c>
      <c r="AB908" s="31">
        <f t="shared" si="204"/>
        <v>0</v>
      </c>
      <c r="AC908" s="31">
        <f t="shared" si="204"/>
        <v>32382.49</v>
      </c>
      <c r="AD908" s="31">
        <f t="shared" si="204"/>
        <v>120000</v>
      </c>
      <c r="AE908" s="31">
        <f t="shared" si="204"/>
        <v>0</v>
      </c>
      <c r="AF908" s="72" t="s">
        <v>776</v>
      </c>
      <c r="AG908" s="72" t="s">
        <v>776</v>
      </c>
      <c r="AH908" s="88" t="s">
        <v>776</v>
      </c>
      <c r="AT908" s="20" t="e">
        <f t="shared" si="203"/>
        <v>#N/A</v>
      </c>
      <c r="BZ908" s="71">
        <v>2311215.4500000002</v>
      </c>
      <c r="CD908" s="20" t="e">
        <f t="shared" si="199"/>
        <v>#N/A</v>
      </c>
    </row>
    <row r="909" spans="1:86" ht="61.5" x14ac:dyDescent="0.85">
      <c r="A909" s="20">
        <v>1</v>
      </c>
      <c r="B909" s="66">
        <f>SUBTOTAL(103,$A$552:A909)</f>
        <v>319</v>
      </c>
      <c r="C909" s="24" t="s">
        <v>53</v>
      </c>
      <c r="D909" s="31">
        <f>E909+F909+G909+H909+I909+J909+L909+N909+P909+R909+T909+U909+V909+W909+X909+Y909+Z909+AA909+AB909+AC909+AD909+AE909</f>
        <v>2311215.4500000002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3">
        <v>0</v>
      </c>
      <c r="L909" s="31">
        <v>0</v>
      </c>
      <c r="M909" s="31">
        <v>444</v>
      </c>
      <c r="N909" s="31">
        <v>2158832.96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1">
        <v>0</v>
      </c>
      <c r="Y909" s="31">
        <v>0</v>
      </c>
      <c r="Z909" s="31">
        <v>0</v>
      </c>
      <c r="AA909" s="31">
        <v>0</v>
      </c>
      <c r="AB909" s="31">
        <v>0</v>
      </c>
      <c r="AC909" s="31">
        <f>ROUND(N909*1.5%,2)</f>
        <v>32382.49</v>
      </c>
      <c r="AD909" s="31">
        <v>120000</v>
      </c>
      <c r="AE909" s="31">
        <v>0</v>
      </c>
      <c r="AF909" s="34">
        <v>2021</v>
      </c>
      <c r="AG909" s="34">
        <v>2021</v>
      </c>
      <c r="AH909" s="35">
        <v>2021</v>
      </c>
      <c r="AT909" s="20" t="e">
        <f t="shared" si="203"/>
        <v>#N/A</v>
      </c>
      <c r="BZ909" s="71"/>
      <c r="CD909" s="20" t="e">
        <f t="shared" si="199"/>
        <v>#N/A</v>
      </c>
    </row>
    <row r="910" spans="1:86" ht="61.5" x14ac:dyDescent="0.85">
      <c r="B910" s="24" t="s">
        <v>871</v>
      </c>
      <c r="C910" s="24"/>
      <c r="D910" s="31">
        <f t="shared" ref="D910:AE910" si="205">SUM(D911:D915)</f>
        <v>16487311.32</v>
      </c>
      <c r="E910" s="31">
        <f t="shared" si="205"/>
        <v>0</v>
      </c>
      <c r="F910" s="31">
        <f t="shared" si="205"/>
        <v>0</v>
      </c>
      <c r="G910" s="31">
        <f t="shared" si="205"/>
        <v>0</v>
      </c>
      <c r="H910" s="31">
        <f t="shared" si="205"/>
        <v>0</v>
      </c>
      <c r="I910" s="31">
        <f t="shared" si="205"/>
        <v>0</v>
      </c>
      <c r="J910" s="31">
        <f t="shared" si="205"/>
        <v>0</v>
      </c>
      <c r="K910" s="33">
        <f t="shared" si="205"/>
        <v>0</v>
      </c>
      <c r="L910" s="31">
        <f t="shared" si="205"/>
        <v>0</v>
      </c>
      <c r="M910" s="31">
        <f t="shared" si="205"/>
        <v>3157.3999999999996</v>
      </c>
      <c r="N910" s="31">
        <f t="shared" si="205"/>
        <v>15504740.23</v>
      </c>
      <c r="O910" s="31">
        <f t="shared" si="205"/>
        <v>0</v>
      </c>
      <c r="P910" s="31">
        <f t="shared" si="205"/>
        <v>0</v>
      </c>
      <c r="Q910" s="31">
        <f t="shared" si="205"/>
        <v>0</v>
      </c>
      <c r="R910" s="31">
        <f t="shared" si="205"/>
        <v>0</v>
      </c>
      <c r="S910" s="31">
        <f t="shared" si="205"/>
        <v>0</v>
      </c>
      <c r="T910" s="31">
        <f t="shared" si="205"/>
        <v>0</v>
      </c>
      <c r="U910" s="31">
        <f t="shared" si="205"/>
        <v>0</v>
      </c>
      <c r="V910" s="31">
        <f t="shared" si="205"/>
        <v>0</v>
      </c>
      <c r="W910" s="31">
        <f t="shared" si="205"/>
        <v>0</v>
      </c>
      <c r="X910" s="31">
        <f t="shared" si="205"/>
        <v>0</v>
      </c>
      <c r="Y910" s="31">
        <f t="shared" si="205"/>
        <v>0</v>
      </c>
      <c r="Z910" s="31">
        <f t="shared" si="205"/>
        <v>0</v>
      </c>
      <c r="AA910" s="31">
        <f t="shared" si="205"/>
        <v>0</v>
      </c>
      <c r="AB910" s="31">
        <f t="shared" si="205"/>
        <v>0</v>
      </c>
      <c r="AC910" s="31">
        <f t="shared" si="205"/>
        <v>232571.09000000003</v>
      </c>
      <c r="AD910" s="31">
        <f t="shared" si="205"/>
        <v>750000</v>
      </c>
      <c r="AE910" s="31">
        <f t="shared" si="205"/>
        <v>0</v>
      </c>
      <c r="AF910" s="72" t="s">
        <v>776</v>
      </c>
      <c r="AG910" s="72" t="s">
        <v>776</v>
      </c>
      <c r="AH910" s="88" t="s">
        <v>776</v>
      </c>
      <c r="AT910" s="20" t="e">
        <f t="shared" si="203"/>
        <v>#N/A</v>
      </c>
      <c r="BZ910" s="71">
        <v>16487311.32</v>
      </c>
      <c r="CD910" s="20" t="e">
        <f t="shared" si="199"/>
        <v>#N/A</v>
      </c>
    </row>
    <row r="911" spans="1:86" ht="61.5" x14ac:dyDescent="0.85">
      <c r="A911" s="20">
        <v>1</v>
      </c>
      <c r="B911" s="66">
        <f>SUBTOTAL(103,$A$552:A911)</f>
        <v>320</v>
      </c>
      <c r="C911" s="24" t="s">
        <v>60</v>
      </c>
      <c r="D911" s="31">
        <f>E911+F911+G911+H911+I911+J911+L911+N911+P911+R911+T911+U911+V911+W911+X911+Y911+Z911+AA911+AB911+AC911+AD911+AE911</f>
        <v>3462053.4</v>
      </c>
      <c r="E911" s="31">
        <v>0</v>
      </c>
      <c r="F911" s="31">
        <v>0</v>
      </c>
      <c r="G911" s="31">
        <v>0</v>
      </c>
      <c r="H911" s="31">
        <v>0</v>
      </c>
      <c r="I911" s="31">
        <v>0</v>
      </c>
      <c r="J911" s="31">
        <v>0</v>
      </c>
      <c r="K911" s="33">
        <v>0</v>
      </c>
      <c r="L911" s="31">
        <v>0</v>
      </c>
      <c r="M911" s="31">
        <v>663</v>
      </c>
      <c r="N911" s="31">
        <v>3263106.8</v>
      </c>
      <c r="O911" s="31">
        <v>0</v>
      </c>
      <c r="P911" s="31">
        <v>0</v>
      </c>
      <c r="Q911" s="31">
        <v>0</v>
      </c>
      <c r="R911" s="31">
        <v>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1">
        <v>0</v>
      </c>
      <c r="Y911" s="31">
        <v>0</v>
      </c>
      <c r="Z911" s="31">
        <v>0</v>
      </c>
      <c r="AA911" s="31">
        <v>0</v>
      </c>
      <c r="AB911" s="31">
        <v>0</v>
      </c>
      <c r="AC911" s="31">
        <f>ROUND(N911*1.5%,2)</f>
        <v>48946.6</v>
      </c>
      <c r="AD911" s="31">
        <v>150000</v>
      </c>
      <c r="AE911" s="31">
        <v>0</v>
      </c>
      <c r="AF911" s="34">
        <v>2021</v>
      </c>
      <c r="AG911" s="34">
        <v>2021</v>
      </c>
      <c r="AH911" s="35">
        <v>2021</v>
      </c>
      <c r="AT911" s="20" t="e">
        <f t="shared" si="203"/>
        <v>#N/A</v>
      </c>
      <c r="BZ911" s="71"/>
      <c r="CD911" s="20" t="e">
        <f t="shared" si="199"/>
        <v>#N/A</v>
      </c>
    </row>
    <row r="912" spans="1:86" ht="61.5" x14ac:dyDescent="0.85">
      <c r="A912" s="20">
        <v>1</v>
      </c>
      <c r="B912" s="66">
        <f>SUBTOTAL(103,$A$552:A912)</f>
        <v>321</v>
      </c>
      <c r="C912" s="24" t="s">
        <v>61</v>
      </c>
      <c r="D912" s="31">
        <f>E912+F912+G912+H912+I912+J912+L912+N912+P912+R912+T912+U912+V912+W912+X912+Y912+Z912+AA912+AB912+AC912+AD912+AE912</f>
        <v>3446388</v>
      </c>
      <c r="E912" s="31">
        <v>0</v>
      </c>
      <c r="F912" s="31">
        <v>0</v>
      </c>
      <c r="G912" s="31">
        <v>0</v>
      </c>
      <c r="H912" s="31">
        <v>0</v>
      </c>
      <c r="I912" s="31">
        <v>0</v>
      </c>
      <c r="J912" s="31">
        <v>0</v>
      </c>
      <c r="K912" s="33">
        <v>0</v>
      </c>
      <c r="L912" s="31">
        <v>0</v>
      </c>
      <c r="M912" s="31">
        <v>660</v>
      </c>
      <c r="N912" s="31">
        <v>3247672.91</v>
      </c>
      <c r="O912" s="31">
        <v>0</v>
      </c>
      <c r="P912" s="31">
        <v>0</v>
      </c>
      <c r="Q912" s="31">
        <v>0</v>
      </c>
      <c r="R912" s="31">
        <v>0</v>
      </c>
      <c r="S912" s="31">
        <v>0</v>
      </c>
      <c r="T912" s="31">
        <v>0</v>
      </c>
      <c r="U912" s="31">
        <v>0</v>
      </c>
      <c r="V912" s="31">
        <v>0</v>
      </c>
      <c r="W912" s="31">
        <v>0</v>
      </c>
      <c r="X912" s="31">
        <v>0</v>
      </c>
      <c r="Y912" s="31">
        <v>0</v>
      </c>
      <c r="Z912" s="31">
        <v>0</v>
      </c>
      <c r="AA912" s="31">
        <v>0</v>
      </c>
      <c r="AB912" s="31">
        <v>0</v>
      </c>
      <c r="AC912" s="31">
        <f>ROUND(N912*1.5%,2)</f>
        <v>48715.09</v>
      </c>
      <c r="AD912" s="31">
        <v>150000</v>
      </c>
      <c r="AE912" s="31">
        <v>0</v>
      </c>
      <c r="AF912" s="34">
        <v>2021</v>
      </c>
      <c r="AG912" s="34">
        <v>2021</v>
      </c>
      <c r="AH912" s="35">
        <v>2021</v>
      </c>
      <c r="AT912" s="20" t="e">
        <f t="shared" si="203"/>
        <v>#N/A</v>
      </c>
      <c r="BZ912" s="71"/>
      <c r="CD912" s="20" t="e">
        <f t="shared" si="199"/>
        <v>#N/A</v>
      </c>
    </row>
    <row r="913" spans="1:82" ht="61.5" x14ac:dyDescent="0.85">
      <c r="A913" s="20">
        <v>1</v>
      </c>
      <c r="B913" s="66">
        <f>SUBTOTAL(103,$A$552:A913)</f>
        <v>322</v>
      </c>
      <c r="C913" s="24" t="s">
        <v>59</v>
      </c>
      <c r="D913" s="31">
        <f>E913+F913+G913+H913+I913+J913+L913+N913+P913+R913+T913+U913+V913+W913+X913+Y913+Z913+AA913+AB913+AC913+AD913+AE913</f>
        <v>3378504.6</v>
      </c>
      <c r="E913" s="31">
        <v>0</v>
      </c>
      <c r="F913" s="31">
        <v>0</v>
      </c>
      <c r="G913" s="31">
        <v>0</v>
      </c>
      <c r="H913" s="31">
        <v>0</v>
      </c>
      <c r="I913" s="31">
        <v>0</v>
      </c>
      <c r="J913" s="31">
        <v>0</v>
      </c>
      <c r="K913" s="33">
        <v>0</v>
      </c>
      <c r="L913" s="31">
        <v>0</v>
      </c>
      <c r="M913" s="31">
        <v>647</v>
      </c>
      <c r="N913" s="31">
        <v>3180792.71</v>
      </c>
      <c r="O913" s="31">
        <v>0</v>
      </c>
      <c r="P913" s="31">
        <v>0</v>
      </c>
      <c r="Q913" s="31">
        <v>0</v>
      </c>
      <c r="R913" s="31">
        <v>0</v>
      </c>
      <c r="S913" s="31">
        <v>0</v>
      </c>
      <c r="T913" s="31">
        <v>0</v>
      </c>
      <c r="U913" s="31">
        <v>0</v>
      </c>
      <c r="V913" s="31">
        <v>0</v>
      </c>
      <c r="W913" s="31">
        <v>0</v>
      </c>
      <c r="X913" s="31">
        <v>0</v>
      </c>
      <c r="Y913" s="31">
        <v>0</v>
      </c>
      <c r="Z913" s="31">
        <v>0</v>
      </c>
      <c r="AA913" s="31">
        <v>0</v>
      </c>
      <c r="AB913" s="31">
        <v>0</v>
      </c>
      <c r="AC913" s="31">
        <f>ROUND(N913*1.5%,2)</f>
        <v>47711.89</v>
      </c>
      <c r="AD913" s="31">
        <v>150000</v>
      </c>
      <c r="AE913" s="31">
        <v>0</v>
      </c>
      <c r="AF913" s="34">
        <v>2021</v>
      </c>
      <c r="AG913" s="34">
        <v>2021</v>
      </c>
      <c r="AH913" s="35">
        <v>2021</v>
      </c>
      <c r="AT913" s="20" t="e">
        <f t="shared" si="203"/>
        <v>#N/A</v>
      </c>
      <c r="BZ913" s="71"/>
      <c r="CD913" s="20" t="e">
        <f t="shared" si="199"/>
        <v>#N/A</v>
      </c>
    </row>
    <row r="914" spans="1:82" ht="61.5" x14ac:dyDescent="0.85">
      <c r="A914" s="20">
        <v>1</v>
      </c>
      <c r="B914" s="66">
        <f>SUBTOTAL(103,$A$552:A914)</f>
        <v>323</v>
      </c>
      <c r="C914" s="24" t="s">
        <v>62</v>
      </c>
      <c r="D914" s="31">
        <f>E914+F914+G914+H914+I914+J914+L914+N914+P914+R914+T914+U914+V914+W914+X914+Y914+Z914+AA914+AB914+AC914+AD914+AE914</f>
        <v>2799929.1599999997</v>
      </c>
      <c r="E914" s="31">
        <v>0</v>
      </c>
      <c r="F914" s="31">
        <v>0</v>
      </c>
      <c r="G914" s="31">
        <v>0</v>
      </c>
      <c r="H914" s="31">
        <v>0</v>
      </c>
      <c r="I914" s="31">
        <v>0</v>
      </c>
      <c r="J914" s="31">
        <v>0</v>
      </c>
      <c r="K914" s="33">
        <v>0</v>
      </c>
      <c r="L914" s="31">
        <v>0</v>
      </c>
      <c r="M914" s="31">
        <v>536.20000000000005</v>
      </c>
      <c r="N914" s="31">
        <v>2610767.65</v>
      </c>
      <c r="O914" s="31">
        <v>0</v>
      </c>
      <c r="P914" s="31">
        <v>0</v>
      </c>
      <c r="Q914" s="31">
        <v>0</v>
      </c>
      <c r="R914" s="31">
        <v>0</v>
      </c>
      <c r="S914" s="31">
        <v>0</v>
      </c>
      <c r="T914" s="31">
        <v>0</v>
      </c>
      <c r="U914" s="31">
        <v>0</v>
      </c>
      <c r="V914" s="31">
        <v>0</v>
      </c>
      <c r="W914" s="31">
        <v>0</v>
      </c>
      <c r="X914" s="31">
        <v>0</v>
      </c>
      <c r="Y914" s="31">
        <v>0</v>
      </c>
      <c r="Z914" s="31">
        <v>0</v>
      </c>
      <c r="AA914" s="31">
        <v>0</v>
      </c>
      <c r="AB914" s="31">
        <v>0</v>
      </c>
      <c r="AC914" s="31">
        <f>ROUND(N914*1.5%,2)</f>
        <v>39161.51</v>
      </c>
      <c r="AD914" s="31">
        <v>150000</v>
      </c>
      <c r="AE914" s="31">
        <v>0</v>
      </c>
      <c r="AF914" s="34">
        <v>2021</v>
      </c>
      <c r="AG914" s="34">
        <v>2021</v>
      </c>
      <c r="AH914" s="35">
        <v>2021</v>
      </c>
      <c r="AT914" s="20" t="e">
        <f t="shared" si="203"/>
        <v>#N/A</v>
      </c>
      <c r="BZ914" s="71"/>
      <c r="CD914" s="20" t="e">
        <f t="shared" si="199"/>
        <v>#N/A</v>
      </c>
    </row>
    <row r="915" spans="1:82" ht="61.5" x14ac:dyDescent="0.85">
      <c r="A915" s="20">
        <v>1</v>
      </c>
      <c r="B915" s="66">
        <f>SUBTOTAL(103,$A$552:A915)</f>
        <v>324</v>
      </c>
      <c r="C915" s="24" t="s">
        <v>58</v>
      </c>
      <c r="D915" s="31">
        <f>E915+F915+G915+H915+I915+J915+L915+N915+P915+R915+T915+U915+V915+W915+X915+Y915+Z915+AA915+AB915+AC915+AD915+AE915</f>
        <v>3400436.16</v>
      </c>
      <c r="E915" s="31">
        <v>0</v>
      </c>
      <c r="F915" s="31">
        <v>0</v>
      </c>
      <c r="G915" s="31">
        <v>0</v>
      </c>
      <c r="H915" s="31">
        <v>0</v>
      </c>
      <c r="I915" s="31">
        <v>0</v>
      </c>
      <c r="J915" s="31">
        <v>0</v>
      </c>
      <c r="K915" s="33">
        <v>0</v>
      </c>
      <c r="L915" s="31">
        <v>0</v>
      </c>
      <c r="M915" s="31">
        <v>651.20000000000005</v>
      </c>
      <c r="N915" s="31">
        <v>3202400.16</v>
      </c>
      <c r="O915" s="31">
        <v>0</v>
      </c>
      <c r="P915" s="31">
        <v>0</v>
      </c>
      <c r="Q915" s="31">
        <v>0</v>
      </c>
      <c r="R915" s="31">
        <v>0</v>
      </c>
      <c r="S915" s="31">
        <v>0</v>
      </c>
      <c r="T915" s="31">
        <v>0</v>
      </c>
      <c r="U915" s="31">
        <v>0</v>
      </c>
      <c r="V915" s="31">
        <v>0</v>
      </c>
      <c r="W915" s="31">
        <v>0</v>
      </c>
      <c r="X915" s="31">
        <v>0</v>
      </c>
      <c r="Y915" s="31">
        <v>0</v>
      </c>
      <c r="Z915" s="31">
        <v>0</v>
      </c>
      <c r="AA915" s="31">
        <v>0</v>
      </c>
      <c r="AB915" s="31">
        <v>0</v>
      </c>
      <c r="AC915" s="31">
        <f>ROUND(N915*1.5%,2)</f>
        <v>48036</v>
      </c>
      <c r="AD915" s="31">
        <v>150000</v>
      </c>
      <c r="AE915" s="31">
        <v>0</v>
      </c>
      <c r="AF915" s="34">
        <v>2021</v>
      </c>
      <c r="AG915" s="34">
        <v>2021</v>
      </c>
      <c r="AH915" s="35">
        <v>2021</v>
      </c>
      <c r="AT915" s="20" t="e">
        <f t="shared" si="203"/>
        <v>#N/A</v>
      </c>
      <c r="BZ915" s="71"/>
      <c r="CD915" s="20" t="e">
        <f t="shared" si="199"/>
        <v>#N/A</v>
      </c>
    </row>
    <row r="916" spans="1:82" ht="61.5" x14ac:dyDescent="0.85">
      <c r="B916" s="24" t="s">
        <v>872</v>
      </c>
      <c r="C916" s="129"/>
      <c r="D916" s="31">
        <f t="shared" ref="D916:AE916" si="206">D917+D918</f>
        <v>6032850.6600000001</v>
      </c>
      <c r="E916" s="31">
        <f t="shared" si="206"/>
        <v>0</v>
      </c>
      <c r="F916" s="31">
        <f t="shared" si="206"/>
        <v>0</v>
      </c>
      <c r="G916" s="31">
        <f t="shared" si="206"/>
        <v>0</v>
      </c>
      <c r="H916" s="31">
        <f t="shared" si="206"/>
        <v>0</v>
      </c>
      <c r="I916" s="31">
        <f t="shared" si="206"/>
        <v>0</v>
      </c>
      <c r="J916" s="31">
        <f t="shared" si="206"/>
        <v>0</v>
      </c>
      <c r="K916" s="33">
        <f t="shared" si="206"/>
        <v>0</v>
      </c>
      <c r="L916" s="31">
        <f t="shared" si="206"/>
        <v>0</v>
      </c>
      <c r="M916" s="31">
        <f t="shared" si="206"/>
        <v>1203</v>
      </c>
      <c r="N916" s="31">
        <f t="shared" si="206"/>
        <v>5677685.3799999999</v>
      </c>
      <c r="O916" s="31">
        <f t="shared" si="206"/>
        <v>0</v>
      </c>
      <c r="P916" s="31">
        <f t="shared" si="206"/>
        <v>0</v>
      </c>
      <c r="Q916" s="31">
        <f t="shared" si="206"/>
        <v>0</v>
      </c>
      <c r="R916" s="31">
        <f t="shared" si="206"/>
        <v>0</v>
      </c>
      <c r="S916" s="31">
        <f t="shared" si="206"/>
        <v>0</v>
      </c>
      <c r="T916" s="31">
        <f t="shared" si="206"/>
        <v>0</v>
      </c>
      <c r="U916" s="31">
        <f t="shared" si="206"/>
        <v>0</v>
      </c>
      <c r="V916" s="31">
        <f t="shared" si="206"/>
        <v>0</v>
      </c>
      <c r="W916" s="31">
        <f t="shared" si="206"/>
        <v>0</v>
      </c>
      <c r="X916" s="31">
        <f t="shared" si="206"/>
        <v>0</v>
      </c>
      <c r="Y916" s="31">
        <f t="shared" si="206"/>
        <v>0</v>
      </c>
      <c r="Z916" s="31">
        <f t="shared" si="206"/>
        <v>0</v>
      </c>
      <c r="AA916" s="31">
        <f t="shared" si="206"/>
        <v>0</v>
      </c>
      <c r="AB916" s="31">
        <f t="shared" si="206"/>
        <v>0</v>
      </c>
      <c r="AC916" s="31">
        <f t="shared" si="206"/>
        <v>85165.28</v>
      </c>
      <c r="AD916" s="31">
        <f t="shared" si="206"/>
        <v>270000</v>
      </c>
      <c r="AE916" s="31">
        <f t="shared" si="206"/>
        <v>0</v>
      </c>
      <c r="AF916" s="72" t="s">
        <v>776</v>
      </c>
      <c r="AG916" s="72" t="s">
        <v>776</v>
      </c>
      <c r="AH916" s="88" t="s">
        <v>776</v>
      </c>
      <c r="AT916" s="20" t="e">
        <f t="shared" si="203"/>
        <v>#N/A</v>
      </c>
      <c r="BZ916" s="71">
        <v>6032850.6600000001</v>
      </c>
      <c r="CD916" s="20" t="e">
        <f t="shared" si="199"/>
        <v>#N/A</v>
      </c>
    </row>
    <row r="917" spans="1:82" ht="61.5" x14ac:dyDescent="0.85">
      <c r="A917" s="20">
        <v>1</v>
      </c>
      <c r="B917" s="66">
        <f>SUBTOTAL(103,$A$552:A917)</f>
        <v>325</v>
      </c>
      <c r="C917" s="24" t="s">
        <v>234</v>
      </c>
      <c r="D917" s="31">
        <f>E917+F917+G917+H917+I917+J917+L917+N917+P917+R917+T917+U917+V917+W917+X917+Y917+Z917+AA917+AB917+AC917+AD917+AE917</f>
        <v>4231329.66</v>
      </c>
      <c r="E917" s="31">
        <v>0</v>
      </c>
      <c r="F917" s="31">
        <v>0</v>
      </c>
      <c r="G917" s="31">
        <v>0</v>
      </c>
      <c r="H917" s="31">
        <v>0</v>
      </c>
      <c r="I917" s="31">
        <v>0</v>
      </c>
      <c r="J917" s="31">
        <v>0</v>
      </c>
      <c r="K917" s="33">
        <v>0</v>
      </c>
      <c r="L917" s="31">
        <v>0</v>
      </c>
      <c r="M917" s="31">
        <v>858</v>
      </c>
      <c r="N917" s="31">
        <v>4021014.44</v>
      </c>
      <c r="O917" s="31">
        <v>0</v>
      </c>
      <c r="P917" s="31">
        <v>0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1">
        <v>0</v>
      </c>
      <c r="W917" s="31">
        <v>0</v>
      </c>
      <c r="X917" s="31">
        <v>0</v>
      </c>
      <c r="Y917" s="31">
        <v>0</v>
      </c>
      <c r="Z917" s="31">
        <v>0</v>
      </c>
      <c r="AA917" s="31">
        <v>0</v>
      </c>
      <c r="AB917" s="31">
        <v>0</v>
      </c>
      <c r="AC917" s="31">
        <f>ROUND(N917*1.5%,2)</f>
        <v>60315.22</v>
      </c>
      <c r="AD917" s="31">
        <v>150000</v>
      </c>
      <c r="AE917" s="31">
        <v>0</v>
      </c>
      <c r="AF917" s="34">
        <v>2021</v>
      </c>
      <c r="AG917" s="34">
        <v>2021</v>
      </c>
      <c r="AH917" s="35">
        <v>2021</v>
      </c>
      <c r="AT917" s="20" t="e">
        <f t="shared" si="203"/>
        <v>#N/A</v>
      </c>
      <c r="BZ917" s="71"/>
      <c r="CD917" s="20" t="e">
        <f t="shared" si="199"/>
        <v>#N/A</v>
      </c>
    </row>
    <row r="918" spans="1:82" ht="61.5" x14ac:dyDescent="0.85">
      <c r="A918" s="20">
        <v>1</v>
      </c>
      <c r="B918" s="66">
        <f>SUBTOTAL(103,$A$552:A918)</f>
        <v>326</v>
      </c>
      <c r="C918" s="24" t="s">
        <v>233</v>
      </c>
      <c r="D918" s="31">
        <f>E918+F918+G918+H918+I918+J918+L918+N918+P918+R918+T918+U918+V918+W918+X918+Y918+Z918+AA918+AB918+AC918+AD918+AE918</f>
        <v>1801521</v>
      </c>
      <c r="E918" s="31">
        <v>0</v>
      </c>
      <c r="F918" s="31">
        <v>0</v>
      </c>
      <c r="G918" s="31">
        <v>0</v>
      </c>
      <c r="H918" s="31">
        <v>0</v>
      </c>
      <c r="I918" s="31">
        <v>0</v>
      </c>
      <c r="J918" s="31">
        <v>0</v>
      </c>
      <c r="K918" s="33">
        <v>0</v>
      </c>
      <c r="L918" s="31">
        <v>0</v>
      </c>
      <c r="M918" s="31">
        <v>345</v>
      </c>
      <c r="N918" s="31">
        <v>1656670.94</v>
      </c>
      <c r="O918" s="31">
        <v>0</v>
      </c>
      <c r="P918" s="31">
        <v>0</v>
      </c>
      <c r="Q918" s="31">
        <v>0</v>
      </c>
      <c r="R918" s="31">
        <v>0</v>
      </c>
      <c r="S918" s="31">
        <v>0</v>
      </c>
      <c r="T918" s="31">
        <v>0</v>
      </c>
      <c r="U918" s="31">
        <v>0</v>
      </c>
      <c r="V918" s="31">
        <v>0</v>
      </c>
      <c r="W918" s="31">
        <v>0</v>
      </c>
      <c r="X918" s="31">
        <v>0</v>
      </c>
      <c r="Y918" s="31">
        <v>0</v>
      </c>
      <c r="Z918" s="31">
        <v>0</v>
      </c>
      <c r="AA918" s="31">
        <v>0</v>
      </c>
      <c r="AB918" s="31">
        <v>0</v>
      </c>
      <c r="AC918" s="31">
        <f>ROUND(N918*1.5%,2)</f>
        <v>24850.06</v>
      </c>
      <c r="AD918" s="31">
        <v>120000</v>
      </c>
      <c r="AE918" s="31">
        <v>0</v>
      </c>
      <c r="AF918" s="34">
        <v>2021</v>
      </c>
      <c r="AG918" s="34">
        <v>2021</v>
      </c>
      <c r="AH918" s="35">
        <v>2021</v>
      </c>
      <c r="AT918" s="20" t="e">
        <f t="shared" si="203"/>
        <v>#N/A</v>
      </c>
      <c r="BZ918" s="71"/>
      <c r="CD918" s="20" t="e">
        <f t="shared" si="199"/>
        <v>#N/A</v>
      </c>
    </row>
    <row r="919" spans="1:82" ht="61.5" x14ac:dyDescent="0.85">
      <c r="B919" s="24" t="s">
        <v>874</v>
      </c>
      <c r="C919" s="129"/>
      <c r="D919" s="31">
        <f t="shared" ref="D919:AE919" si="207">D920</f>
        <v>1799918.22</v>
      </c>
      <c r="E919" s="31">
        <f t="shared" si="207"/>
        <v>0</v>
      </c>
      <c r="F919" s="31">
        <f t="shared" si="207"/>
        <v>0</v>
      </c>
      <c r="G919" s="31">
        <f t="shared" si="207"/>
        <v>0</v>
      </c>
      <c r="H919" s="31">
        <f t="shared" si="207"/>
        <v>0</v>
      </c>
      <c r="I919" s="31">
        <f t="shared" si="207"/>
        <v>367412.22</v>
      </c>
      <c r="J919" s="31">
        <f t="shared" si="207"/>
        <v>0</v>
      </c>
      <c r="K919" s="33">
        <f t="shared" si="207"/>
        <v>0</v>
      </c>
      <c r="L919" s="31">
        <f t="shared" si="207"/>
        <v>0</v>
      </c>
      <c r="M919" s="31">
        <f t="shared" si="207"/>
        <v>300</v>
      </c>
      <c r="N919" s="31">
        <f t="shared" si="207"/>
        <v>1287679.6200000001</v>
      </c>
      <c r="O919" s="31">
        <f t="shared" si="207"/>
        <v>0</v>
      </c>
      <c r="P919" s="31">
        <f t="shared" si="207"/>
        <v>0</v>
      </c>
      <c r="Q919" s="31">
        <f t="shared" si="207"/>
        <v>0</v>
      </c>
      <c r="R919" s="31">
        <f t="shared" si="207"/>
        <v>0</v>
      </c>
      <c r="S919" s="31">
        <f t="shared" si="207"/>
        <v>0</v>
      </c>
      <c r="T919" s="31">
        <f t="shared" si="207"/>
        <v>0</v>
      </c>
      <c r="U919" s="31">
        <f t="shared" si="207"/>
        <v>0</v>
      </c>
      <c r="V919" s="31">
        <f t="shared" si="207"/>
        <v>0</v>
      </c>
      <c r="W919" s="31">
        <f t="shared" si="207"/>
        <v>0</v>
      </c>
      <c r="X919" s="31">
        <f t="shared" si="207"/>
        <v>0</v>
      </c>
      <c r="Y919" s="31">
        <f t="shared" si="207"/>
        <v>0</v>
      </c>
      <c r="Z919" s="31">
        <f t="shared" si="207"/>
        <v>0</v>
      </c>
      <c r="AA919" s="31">
        <f t="shared" si="207"/>
        <v>0</v>
      </c>
      <c r="AB919" s="31">
        <f t="shared" si="207"/>
        <v>0</v>
      </c>
      <c r="AC919" s="31">
        <f t="shared" si="207"/>
        <v>24826.38</v>
      </c>
      <c r="AD919" s="31">
        <f t="shared" si="207"/>
        <v>120000</v>
      </c>
      <c r="AE919" s="31">
        <f t="shared" si="207"/>
        <v>0</v>
      </c>
      <c r="AF919" s="72" t="s">
        <v>776</v>
      </c>
      <c r="AG919" s="72" t="s">
        <v>776</v>
      </c>
      <c r="AH919" s="88" t="s">
        <v>776</v>
      </c>
      <c r="AT919" s="20" t="e">
        <f t="shared" si="203"/>
        <v>#N/A</v>
      </c>
      <c r="BZ919" s="71">
        <v>1799918.22</v>
      </c>
      <c r="CD919" s="20" t="e">
        <f t="shared" si="199"/>
        <v>#N/A</v>
      </c>
    </row>
    <row r="920" spans="1:82" ht="61.5" x14ac:dyDescent="0.85">
      <c r="A920" s="20">
        <v>1</v>
      </c>
      <c r="B920" s="66">
        <f>SUBTOTAL(103,$A$552:A920)</f>
        <v>327</v>
      </c>
      <c r="C920" s="24" t="s">
        <v>151</v>
      </c>
      <c r="D920" s="31">
        <f>E920+F920+G920+H920+I920+J920+L920+N920+P920+R920+T920+U920+V920+W920+X920+Y920+Z920+AA920+AB920+AC920+AD920+AE920</f>
        <v>1799918.22</v>
      </c>
      <c r="E920" s="31">
        <v>0</v>
      </c>
      <c r="F920" s="31">
        <v>0</v>
      </c>
      <c r="G920" s="31">
        <v>0</v>
      </c>
      <c r="H920" s="31">
        <v>0</v>
      </c>
      <c r="I920" s="31">
        <v>367412.22</v>
      </c>
      <c r="J920" s="31">
        <v>0</v>
      </c>
      <c r="K920" s="33">
        <v>0</v>
      </c>
      <c r="L920" s="31">
        <v>0</v>
      </c>
      <c r="M920" s="31">
        <v>300</v>
      </c>
      <c r="N920" s="31">
        <v>1287679.6200000001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  <c r="V920" s="31">
        <v>0</v>
      </c>
      <c r="W920" s="31">
        <v>0</v>
      </c>
      <c r="X920" s="31">
        <v>0</v>
      </c>
      <c r="Y920" s="31">
        <v>0</v>
      </c>
      <c r="Z920" s="31">
        <v>0</v>
      </c>
      <c r="AA920" s="31">
        <v>0</v>
      </c>
      <c r="AB920" s="31">
        <v>0</v>
      </c>
      <c r="AC920" s="31">
        <f>ROUND((N920+I920)*1.5%,2)</f>
        <v>24826.38</v>
      </c>
      <c r="AD920" s="31">
        <v>120000</v>
      </c>
      <c r="AE920" s="31">
        <v>0</v>
      </c>
      <c r="AF920" s="34">
        <v>2021</v>
      </c>
      <c r="AG920" s="34">
        <v>2021</v>
      </c>
      <c r="AH920" s="35">
        <v>2021</v>
      </c>
      <c r="AT920" s="20" t="e">
        <f t="shared" si="203"/>
        <v>#N/A</v>
      </c>
      <c r="BZ920" s="71"/>
      <c r="CD920" s="20" t="e">
        <f t="shared" si="199"/>
        <v>#N/A</v>
      </c>
    </row>
    <row r="921" spans="1:82" s="155" customFormat="1" ht="61.5" x14ac:dyDescent="0.85">
      <c r="B921" s="24" t="s">
        <v>907</v>
      </c>
      <c r="C921" s="129"/>
      <c r="D921" s="31">
        <f>SUM(D922:D925)</f>
        <v>4102310.33</v>
      </c>
      <c r="E921" s="31">
        <f t="shared" ref="E921:AE921" si="208">SUM(E922:E925)</f>
        <v>0</v>
      </c>
      <c r="F921" s="31">
        <f t="shared" si="208"/>
        <v>0</v>
      </c>
      <c r="G921" s="31">
        <f t="shared" si="208"/>
        <v>0</v>
      </c>
      <c r="H921" s="31">
        <f t="shared" si="208"/>
        <v>0</v>
      </c>
      <c r="I921" s="31">
        <f t="shared" si="208"/>
        <v>0</v>
      </c>
      <c r="J921" s="31">
        <f t="shared" si="208"/>
        <v>0</v>
      </c>
      <c r="K921" s="76">
        <f t="shared" si="208"/>
        <v>0</v>
      </c>
      <c r="L921" s="31">
        <f t="shared" si="208"/>
        <v>0</v>
      </c>
      <c r="M921" s="31">
        <f t="shared" si="208"/>
        <v>775.8</v>
      </c>
      <c r="N921" s="31">
        <f t="shared" si="208"/>
        <v>3726414.11</v>
      </c>
      <c r="O921" s="31">
        <f t="shared" si="208"/>
        <v>0</v>
      </c>
      <c r="P921" s="31">
        <f t="shared" si="208"/>
        <v>0</v>
      </c>
      <c r="Q921" s="31">
        <f t="shared" si="208"/>
        <v>0</v>
      </c>
      <c r="R921" s="31">
        <f t="shared" si="208"/>
        <v>0</v>
      </c>
      <c r="S921" s="31">
        <f t="shared" si="208"/>
        <v>0</v>
      </c>
      <c r="T921" s="31">
        <f t="shared" si="208"/>
        <v>0</v>
      </c>
      <c r="U921" s="31">
        <f t="shared" si="208"/>
        <v>0</v>
      </c>
      <c r="V921" s="31">
        <f t="shared" si="208"/>
        <v>0</v>
      </c>
      <c r="W921" s="31">
        <f t="shared" si="208"/>
        <v>0</v>
      </c>
      <c r="X921" s="31">
        <f t="shared" si="208"/>
        <v>0</v>
      </c>
      <c r="Y921" s="31">
        <f t="shared" si="208"/>
        <v>0</v>
      </c>
      <c r="Z921" s="31">
        <f t="shared" si="208"/>
        <v>0</v>
      </c>
      <c r="AA921" s="31">
        <f t="shared" si="208"/>
        <v>0</v>
      </c>
      <c r="AB921" s="31">
        <f t="shared" si="208"/>
        <v>0</v>
      </c>
      <c r="AC921" s="31">
        <f t="shared" si="208"/>
        <v>55896.22</v>
      </c>
      <c r="AD921" s="31">
        <f t="shared" si="208"/>
        <v>320000</v>
      </c>
      <c r="AE921" s="31">
        <f t="shared" si="208"/>
        <v>0</v>
      </c>
      <c r="AF921" s="72" t="s">
        <v>776</v>
      </c>
      <c r="AG921" s="72" t="s">
        <v>776</v>
      </c>
      <c r="AH921" s="88" t="s">
        <v>776</v>
      </c>
      <c r="AI921" s="20"/>
      <c r="AJ921" s="20"/>
      <c r="AK921" s="20"/>
      <c r="AL921" s="20"/>
      <c r="AT921" s="155" t="e">
        <f t="shared" si="203"/>
        <v>#N/A</v>
      </c>
      <c r="BZ921" s="156">
        <v>3974620.0799999996</v>
      </c>
      <c r="CD921" s="155" t="e">
        <f t="shared" si="199"/>
        <v>#N/A</v>
      </c>
    </row>
    <row r="922" spans="1:82" s="155" customFormat="1" ht="61.5" x14ac:dyDescent="0.85">
      <c r="A922" s="155">
        <v>1</v>
      </c>
      <c r="B922" s="66">
        <f>SUBTOTAL(103,$A$552:A922)</f>
        <v>328</v>
      </c>
      <c r="C922" s="24" t="s">
        <v>1728</v>
      </c>
      <c r="D922" s="31">
        <f>E922+F922+G922+H922+I922+J922+L922+N922+P922+R922+T922+U922+V922+W922+X922+Y922+Z922+AA922+AB922+AC922+AD922+AE922</f>
        <v>1024846.28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3">
        <v>0</v>
      </c>
      <c r="L922" s="31">
        <v>0</v>
      </c>
      <c r="M922" s="31">
        <v>193.8</v>
      </c>
      <c r="N922" s="31">
        <v>930883.03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1">
        <v>0</v>
      </c>
      <c r="Y922" s="31">
        <v>0</v>
      </c>
      <c r="Z922" s="31">
        <v>0</v>
      </c>
      <c r="AA922" s="31">
        <v>0</v>
      </c>
      <c r="AB922" s="31">
        <v>0</v>
      </c>
      <c r="AC922" s="31">
        <f>ROUND(N922*1.5%,2)</f>
        <v>13963.25</v>
      </c>
      <c r="AD922" s="31">
        <v>80000</v>
      </c>
      <c r="AE922" s="31">
        <v>0</v>
      </c>
      <c r="AF922" s="34">
        <v>2021</v>
      </c>
      <c r="AG922" s="34">
        <v>2021</v>
      </c>
      <c r="AH922" s="35">
        <v>2021</v>
      </c>
      <c r="AI922" s="20"/>
      <c r="AJ922" s="20"/>
      <c r="AK922" s="20"/>
      <c r="AL922" s="20"/>
      <c r="AT922" s="155" t="e">
        <f t="shared" si="203"/>
        <v>#N/A</v>
      </c>
      <c r="BZ922" s="156"/>
      <c r="CD922" s="155" t="e">
        <f t="shared" si="199"/>
        <v>#N/A</v>
      </c>
    </row>
    <row r="923" spans="1:82" s="155" customFormat="1" ht="61.5" x14ac:dyDescent="0.85">
      <c r="A923" s="155">
        <v>1</v>
      </c>
      <c r="B923" s="66">
        <f>SUBTOTAL(103,$A$552:A923)</f>
        <v>329</v>
      </c>
      <c r="C923" s="24" t="s">
        <v>1729</v>
      </c>
      <c r="D923" s="31">
        <f>E923+F923+G923+H923+I923+J923+L923+N923+P923+R923+T923+U923+V923+W923+X923+Y923+Z923+AA923+AB923+AC923+AD923+AE923</f>
        <v>1103827.23</v>
      </c>
      <c r="E923" s="31">
        <v>0</v>
      </c>
      <c r="F923" s="31">
        <v>0</v>
      </c>
      <c r="G923" s="31">
        <v>0</v>
      </c>
      <c r="H923" s="31">
        <v>0</v>
      </c>
      <c r="I923" s="31">
        <v>0</v>
      </c>
      <c r="J923" s="31">
        <v>0</v>
      </c>
      <c r="K923" s="33">
        <v>0</v>
      </c>
      <c r="L923" s="31">
        <v>0</v>
      </c>
      <c r="M923" s="31">
        <v>210</v>
      </c>
      <c r="N923" s="31">
        <v>1008696.78</v>
      </c>
      <c r="O923" s="31">
        <v>0</v>
      </c>
      <c r="P923" s="31">
        <v>0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1">
        <v>0</v>
      </c>
      <c r="X923" s="31">
        <v>0</v>
      </c>
      <c r="Y923" s="31">
        <v>0</v>
      </c>
      <c r="Z923" s="31">
        <v>0</v>
      </c>
      <c r="AA923" s="31">
        <v>0</v>
      </c>
      <c r="AB923" s="31">
        <v>0</v>
      </c>
      <c r="AC923" s="31">
        <f>ROUND(N923*1.5%,2)</f>
        <v>15130.45</v>
      </c>
      <c r="AD923" s="31">
        <v>80000</v>
      </c>
      <c r="AE923" s="31">
        <v>0</v>
      </c>
      <c r="AF923" s="34">
        <v>2021</v>
      </c>
      <c r="AG923" s="34">
        <v>2021</v>
      </c>
      <c r="AH923" s="35">
        <v>2021</v>
      </c>
      <c r="AI923" s="20"/>
      <c r="AJ923" s="20"/>
      <c r="AK923" s="20"/>
      <c r="AL923" s="20"/>
      <c r="AT923" s="155" t="e">
        <f t="shared" si="203"/>
        <v>#N/A</v>
      </c>
      <c r="BZ923" s="156"/>
      <c r="CD923" s="155" t="e">
        <f t="shared" si="199"/>
        <v>#N/A</v>
      </c>
    </row>
    <row r="924" spans="1:82" s="155" customFormat="1" ht="61.5" x14ac:dyDescent="0.85">
      <c r="A924" s="155">
        <v>1</v>
      </c>
      <c r="B924" s="66">
        <f>SUBTOTAL(103,$A$552:A924)</f>
        <v>330</v>
      </c>
      <c r="C924" s="24" t="s">
        <v>1730</v>
      </c>
      <c r="D924" s="31">
        <f>E924+F924+G924+H924+I924+J924+L924+N924+P924+R924+T924+U924+V924+W924+X924+Y924+Z924+AA924+AB924+AC924+AD924+AE924</f>
        <v>986818.41</v>
      </c>
      <c r="E924" s="31">
        <v>0</v>
      </c>
      <c r="F924" s="31">
        <v>0</v>
      </c>
      <c r="G924" s="31">
        <v>0</v>
      </c>
      <c r="H924" s="31">
        <v>0</v>
      </c>
      <c r="I924" s="31">
        <v>0</v>
      </c>
      <c r="J924" s="31">
        <v>0</v>
      </c>
      <c r="K924" s="33">
        <v>0</v>
      </c>
      <c r="L924" s="31">
        <v>0</v>
      </c>
      <c r="M924" s="31">
        <v>186</v>
      </c>
      <c r="N924" s="31">
        <v>893417.15</v>
      </c>
      <c r="O924" s="31">
        <v>0</v>
      </c>
      <c r="P924" s="31">
        <v>0</v>
      </c>
      <c r="Q924" s="31">
        <v>0</v>
      </c>
      <c r="R924" s="31">
        <v>0</v>
      </c>
      <c r="S924" s="31">
        <v>0</v>
      </c>
      <c r="T924" s="31">
        <v>0</v>
      </c>
      <c r="U924" s="31">
        <v>0</v>
      </c>
      <c r="V924" s="31">
        <v>0</v>
      </c>
      <c r="W924" s="31">
        <v>0</v>
      </c>
      <c r="X924" s="31">
        <v>0</v>
      </c>
      <c r="Y924" s="31">
        <v>0</v>
      </c>
      <c r="Z924" s="31">
        <v>0</v>
      </c>
      <c r="AA924" s="31">
        <v>0</v>
      </c>
      <c r="AB924" s="31">
        <v>0</v>
      </c>
      <c r="AC924" s="31">
        <f>ROUND(N924*1.5%,2)</f>
        <v>13401.26</v>
      </c>
      <c r="AD924" s="31">
        <v>80000</v>
      </c>
      <c r="AE924" s="31">
        <v>0</v>
      </c>
      <c r="AF924" s="34">
        <v>2021</v>
      </c>
      <c r="AG924" s="34">
        <v>2021</v>
      </c>
      <c r="AH924" s="35">
        <v>2021</v>
      </c>
      <c r="AI924" s="20"/>
      <c r="AJ924" s="20"/>
      <c r="AK924" s="20"/>
      <c r="AL924" s="20"/>
      <c r="AT924" s="155" t="e">
        <f t="shared" si="203"/>
        <v>#N/A</v>
      </c>
      <c r="BZ924" s="156"/>
      <c r="CD924" s="155" t="e">
        <f t="shared" si="199"/>
        <v>#N/A</v>
      </c>
    </row>
    <row r="925" spans="1:82" s="155" customFormat="1" ht="61.5" x14ac:dyDescent="0.85">
      <c r="A925" s="155">
        <v>1</v>
      </c>
      <c r="B925" s="66">
        <f>SUBTOTAL(103,$A$552:A925)</f>
        <v>331</v>
      </c>
      <c r="C925" s="24" t="s">
        <v>1727</v>
      </c>
      <c r="D925" s="31">
        <f>E925+F925+G925+H925+I925+J925+L925+N925+P925+R925+T925+U925+V925+W925+X925+Y925+Z925+AA925+AB925+AC925+AD925+AE925</f>
        <v>986818.41</v>
      </c>
      <c r="E925" s="31">
        <v>0</v>
      </c>
      <c r="F925" s="31">
        <v>0</v>
      </c>
      <c r="G925" s="31">
        <v>0</v>
      </c>
      <c r="H925" s="31">
        <v>0</v>
      </c>
      <c r="I925" s="31">
        <v>0</v>
      </c>
      <c r="J925" s="31">
        <v>0</v>
      </c>
      <c r="K925" s="33">
        <v>0</v>
      </c>
      <c r="L925" s="31">
        <v>0</v>
      </c>
      <c r="M925" s="31">
        <v>186</v>
      </c>
      <c r="N925" s="31">
        <v>893417.15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31">
        <v>0</v>
      </c>
      <c r="W925" s="31">
        <v>0</v>
      </c>
      <c r="X925" s="31">
        <v>0</v>
      </c>
      <c r="Y925" s="31">
        <v>0</v>
      </c>
      <c r="Z925" s="31">
        <v>0</v>
      </c>
      <c r="AA925" s="31">
        <v>0</v>
      </c>
      <c r="AB925" s="31">
        <v>0</v>
      </c>
      <c r="AC925" s="31">
        <f>ROUND(N925*1.5%,2)</f>
        <v>13401.26</v>
      </c>
      <c r="AD925" s="31">
        <v>80000</v>
      </c>
      <c r="AE925" s="31">
        <v>0</v>
      </c>
      <c r="AF925" s="34">
        <v>2021</v>
      </c>
      <c r="AG925" s="34">
        <v>2021</v>
      </c>
      <c r="AH925" s="35">
        <v>2021</v>
      </c>
      <c r="AI925" s="20"/>
      <c r="AJ925" s="20"/>
      <c r="AK925" s="20"/>
      <c r="AL925" s="20"/>
      <c r="AT925" s="155" t="e">
        <f t="shared" si="203"/>
        <v>#N/A</v>
      </c>
      <c r="BZ925" s="156"/>
      <c r="CD925" s="155" t="e">
        <f t="shared" si="199"/>
        <v>#N/A</v>
      </c>
    </row>
    <row r="926" spans="1:82" ht="61.5" x14ac:dyDescent="0.85">
      <c r="B926" s="24" t="s">
        <v>902</v>
      </c>
      <c r="C926" s="24"/>
      <c r="D926" s="31">
        <f t="shared" ref="D926:AE926" si="209">D927</f>
        <v>3974620.0799999996</v>
      </c>
      <c r="E926" s="31">
        <f t="shared" si="209"/>
        <v>0</v>
      </c>
      <c r="F926" s="31">
        <f t="shared" si="209"/>
        <v>0</v>
      </c>
      <c r="G926" s="31">
        <f t="shared" si="209"/>
        <v>0</v>
      </c>
      <c r="H926" s="31">
        <f t="shared" si="209"/>
        <v>0</v>
      </c>
      <c r="I926" s="31">
        <f t="shared" si="209"/>
        <v>0</v>
      </c>
      <c r="J926" s="31">
        <f t="shared" si="209"/>
        <v>0</v>
      </c>
      <c r="K926" s="33">
        <f t="shared" si="209"/>
        <v>0</v>
      </c>
      <c r="L926" s="31">
        <f t="shared" si="209"/>
        <v>0</v>
      </c>
      <c r="M926" s="31">
        <f t="shared" si="209"/>
        <v>660.00388180300001</v>
      </c>
      <c r="N926" s="31">
        <f t="shared" si="209"/>
        <v>3768098.5999999996</v>
      </c>
      <c r="O926" s="31">
        <f t="shared" si="209"/>
        <v>0</v>
      </c>
      <c r="P926" s="31">
        <f t="shared" si="209"/>
        <v>0</v>
      </c>
      <c r="Q926" s="31">
        <f t="shared" si="209"/>
        <v>0</v>
      </c>
      <c r="R926" s="31">
        <f t="shared" si="209"/>
        <v>0</v>
      </c>
      <c r="S926" s="31">
        <f t="shared" si="209"/>
        <v>0</v>
      </c>
      <c r="T926" s="31">
        <f t="shared" si="209"/>
        <v>0</v>
      </c>
      <c r="U926" s="31">
        <f t="shared" si="209"/>
        <v>0</v>
      </c>
      <c r="V926" s="31">
        <f t="shared" si="209"/>
        <v>0</v>
      </c>
      <c r="W926" s="31">
        <f t="shared" si="209"/>
        <v>0</v>
      </c>
      <c r="X926" s="31">
        <f t="shared" si="209"/>
        <v>0</v>
      </c>
      <c r="Y926" s="31">
        <f t="shared" si="209"/>
        <v>0</v>
      </c>
      <c r="Z926" s="31">
        <f t="shared" si="209"/>
        <v>0</v>
      </c>
      <c r="AA926" s="31">
        <f t="shared" si="209"/>
        <v>0</v>
      </c>
      <c r="AB926" s="31">
        <f t="shared" si="209"/>
        <v>0</v>
      </c>
      <c r="AC926" s="31">
        <f t="shared" si="209"/>
        <v>56521.48</v>
      </c>
      <c r="AD926" s="31">
        <f t="shared" si="209"/>
        <v>150000</v>
      </c>
      <c r="AE926" s="31">
        <f t="shared" si="209"/>
        <v>0</v>
      </c>
      <c r="AF926" s="72" t="s">
        <v>776</v>
      </c>
      <c r="AG926" s="72" t="s">
        <v>776</v>
      </c>
      <c r="AH926" s="88" t="s">
        <v>776</v>
      </c>
      <c r="AT926" s="20" t="e">
        <f t="shared" si="203"/>
        <v>#N/A</v>
      </c>
      <c r="BZ926" s="71">
        <v>3974620.0799999996</v>
      </c>
      <c r="CD926" s="20" t="e">
        <f t="shared" si="199"/>
        <v>#N/A</v>
      </c>
    </row>
    <row r="927" spans="1:82" ht="61.5" x14ac:dyDescent="0.85">
      <c r="A927" s="20">
        <v>1</v>
      </c>
      <c r="B927" s="66">
        <f>SUBTOTAL(103,$A$552:A927)</f>
        <v>332</v>
      </c>
      <c r="C927" s="24" t="s">
        <v>152</v>
      </c>
      <c r="D927" s="31">
        <f>E927+F927+G927+H927+I927+J927+L927+N927+P927+R927+T927+U927+V927+W927+X927+Y927+Z927+AA927+AB927+AC927+AD927+AE927</f>
        <v>3974620.0799999996</v>
      </c>
      <c r="E927" s="31">
        <v>0</v>
      </c>
      <c r="F927" s="31">
        <v>0</v>
      </c>
      <c r="G927" s="31">
        <v>0</v>
      </c>
      <c r="H927" s="31">
        <v>0</v>
      </c>
      <c r="I927" s="31">
        <v>0</v>
      </c>
      <c r="J927" s="31">
        <v>0</v>
      </c>
      <c r="K927" s="33">
        <v>0</v>
      </c>
      <c r="L927" s="31">
        <v>0</v>
      </c>
      <c r="M927" s="31">
        <v>660.00388180300001</v>
      </c>
      <c r="N927" s="31">
        <f>3247692.88+520405.72</f>
        <v>3768098.5999999996</v>
      </c>
      <c r="O927" s="31">
        <v>0</v>
      </c>
      <c r="P927" s="31">
        <v>0</v>
      </c>
      <c r="Q927" s="31">
        <v>0</v>
      </c>
      <c r="R927" s="31">
        <v>0</v>
      </c>
      <c r="S927" s="31">
        <v>0</v>
      </c>
      <c r="T927" s="31">
        <v>0</v>
      </c>
      <c r="U927" s="31">
        <v>0</v>
      </c>
      <c r="V927" s="31">
        <v>0</v>
      </c>
      <c r="W927" s="31">
        <v>0</v>
      </c>
      <c r="X927" s="31">
        <v>0</v>
      </c>
      <c r="Y927" s="31">
        <v>0</v>
      </c>
      <c r="Z927" s="31">
        <v>0</v>
      </c>
      <c r="AA927" s="31">
        <v>0</v>
      </c>
      <c r="AB927" s="31">
        <v>0</v>
      </c>
      <c r="AC927" s="31">
        <f>ROUND(N927*1.5%,2)</f>
        <v>56521.48</v>
      </c>
      <c r="AD927" s="31">
        <v>150000</v>
      </c>
      <c r="AE927" s="31">
        <v>0</v>
      </c>
      <c r="AF927" s="34">
        <v>2021</v>
      </c>
      <c r="AG927" s="34">
        <v>2021</v>
      </c>
      <c r="AH927" s="35">
        <v>2021</v>
      </c>
      <c r="AT927" s="20" t="e">
        <f t="shared" si="203"/>
        <v>#N/A</v>
      </c>
      <c r="BZ927" s="71"/>
      <c r="CD927" s="20" t="e">
        <f t="shared" si="199"/>
        <v>#N/A</v>
      </c>
    </row>
    <row r="928" spans="1:82" ht="61.5" x14ac:dyDescent="0.85">
      <c r="B928" s="24" t="s">
        <v>903</v>
      </c>
      <c r="C928" s="24"/>
      <c r="D928" s="31">
        <f t="shared" ref="D928:AE928" si="210">D929</f>
        <v>2957808</v>
      </c>
      <c r="E928" s="31">
        <f t="shared" si="210"/>
        <v>0</v>
      </c>
      <c r="F928" s="31">
        <f t="shared" si="210"/>
        <v>0</v>
      </c>
      <c r="G928" s="31">
        <f t="shared" si="210"/>
        <v>0</v>
      </c>
      <c r="H928" s="31">
        <f t="shared" si="210"/>
        <v>0</v>
      </c>
      <c r="I928" s="31">
        <f t="shared" si="210"/>
        <v>0</v>
      </c>
      <c r="J928" s="31">
        <f t="shared" si="210"/>
        <v>0</v>
      </c>
      <c r="K928" s="33">
        <f t="shared" si="210"/>
        <v>0</v>
      </c>
      <c r="L928" s="31">
        <f t="shared" si="210"/>
        <v>0</v>
      </c>
      <c r="M928" s="31">
        <f t="shared" si="210"/>
        <v>600</v>
      </c>
      <c r="N928" s="31">
        <f t="shared" si="210"/>
        <v>2766313.3</v>
      </c>
      <c r="O928" s="31">
        <f t="shared" si="210"/>
        <v>0</v>
      </c>
      <c r="P928" s="31">
        <f t="shared" si="210"/>
        <v>0</v>
      </c>
      <c r="Q928" s="31">
        <f t="shared" si="210"/>
        <v>0</v>
      </c>
      <c r="R928" s="31">
        <f t="shared" si="210"/>
        <v>0</v>
      </c>
      <c r="S928" s="31">
        <f t="shared" si="210"/>
        <v>0</v>
      </c>
      <c r="T928" s="31">
        <f t="shared" si="210"/>
        <v>0</v>
      </c>
      <c r="U928" s="31">
        <f t="shared" si="210"/>
        <v>0</v>
      </c>
      <c r="V928" s="31">
        <f t="shared" si="210"/>
        <v>0</v>
      </c>
      <c r="W928" s="31">
        <f t="shared" si="210"/>
        <v>0</v>
      </c>
      <c r="X928" s="31">
        <f t="shared" si="210"/>
        <v>0</v>
      </c>
      <c r="Y928" s="31">
        <f t="shared" si="210"/>
        <v>0</v>
      </c>
      <c r="Z928" s="31">
        <f t="shared" si="210"/>
        <v>0</v>
      </c>
      <c r="AA928" s="31">
        <f t="shared" si="210"/>
        <v>0</v>
      </c>
      <c r="AB928" s="31">
        <f t="shared" si="210"/>
        <v>0</v>
      </c>
      <c r="AC928" s="31">
        <f t="shared" si="210"/>
        <v>41494.699999999997</v>
      </c>
      <c r="AD928" s="31">
        <f t="shared" si="210"/>
        <v>150000</v>
      </c>
      <c r="AE928" s="31">
        <f t="shared" si="210"/>
        <v>0</v>
      </c>
      <c r="AF928" s="72" t="s">
        <v>776</v>
      </c>
      <c r="AG928" s="72" t="s">
        <v>776</v>
      </c>
      <c r="AH928" s="88" t="s">
        <v>776</v>
      </c>
      <c r="AT928" s="20" t="e">
        <f t="shared" si="203"/>
        <v>#N/A</v>
      </c>
      <c r="BZ928" s="71">
        <v>2957808</v>
      </c>
      <c r="CD928" s="20" t="e">
        <f t="shared" si="199"/>
        <v>#N/A</v>
      </c>
    </row>
    <row r="929" spans="1:82" ht="61.5" x14ac:dyDescent="0.85">
      <c r="A929" s="20">
        <v>1</v>
      </c>
      <c r="B929" s="66">
        <f>SUBTOTAL(103,$A$552:A929)</f>
        <v>333</v>
      </c>
      <c r="C929" s="24" t="s">
        <v>157</v>
      </c>
      <c r="D929" s="31">
        <f>E929+F929+G929+H929+I929+J929+L929+N929+P929+R929+T929+U929+V929+W929+X929+Y929+Z929+AA929+AB929+AC929+AD929+AE929</f>
        <v>2957808</v>
      </c>
      <c r="E929" s="31">
        <v>0</v>
      </c>
      <c r="F929" s="31">
        <v>0</v>
      </c>
      <c r="G929" s="31">
        <v>0</v>
      </c>
      <c r="H929" s="31">
        <v>0</v>
      </c>
      <c r="I929" s="31">
        <v>0</v>
      </c>
      <c r="J929" s="31">
        <v>0</v>
      </c>
      <c r="K929" s="33">
        <v>0</v>
      </c>
      <c r="L929" s="31">
        <v>0</v>
      </c>
      <c r="M929" s="31">
        <v>600</v>
      </c>
      <c r="N929" s="31">
        <v>2766313.3</v>
      </c>
      <c r="O929" s="31">
        <v>0</v>
      </c>
      <c r="P929" s="31">
        <v>0</v>
      </c>
      <c r="Q929" s="31">
        <v>0</v>
      </c>
      <c r="R929" s="31">
        <v>0</v>
      </c>
      <c r="S929" s="31">
        <v>0</v>
      </c>
      <c r="T929" s="31">
        <v>0</v>
      </c>
      <c r="U929" s="31">
        <v>0</v>
      </c>
      <c r="V929" s="31">
        <v>0</v>
      </c>
      <c r="W929" s="31">
        <v>0</v>
      </c>
      <c r="X929" s="31">
        <v>0</v>
      </c>
      <c r="Y929" s="31">
        <v>0</v>
      </c>
      <c r="Z929" s="31">
        <v>0</v>
      </c>
      <c r="AA929" s="31">
        <v>0</v>
      </c>
      <c r="AB929" s="31">
        <v>0</v>
      </c>
      <c r="AC929" s="31">
        <f>ROUND(N929*1.5%,2)</f>
        <v>41494.699999999997</v>
      </c>
      <c r="AD929" s="31">
        <v>150000</v>
      </c>
      <c r="AE929" s="31">
        <v>0</v>
      </c>
      <c r="AF929" s="34">
        <v>2021</v>
      </c>
      <c r="AG929" s="34">
        <v>2021</v>
      </c>
      <c r="AH929" s="35">
        <v>2021</v>
      </c>
      <c r="AT929" s="20" t="e">
        <f t="shared" si="203"/>
        <v>#N/A</v>
      </c>
      <c r="BZ929" s="71"/>
      <c r="CD929" s="20" t="e">
        <f t="shared" si="199"/>
        <v>#N/A</v>
      </c>
    </row>
    <row r="930" spans="1:82" ht="61.5" x14ac:dyDescent="0.85">
      <c r="B930" s="24" t="s">
        <v>876</v>
      </c>
      <c r="C930" s="24"/>
      <c r="D930" s="31">
        <f t="shared" ref="D930:AE930" si="211">D931</f>
        <v>4651054.3499999996</v>
      </c>
      <c r="E930" s="31">
        <f t="shared" si="211"/>
        <v>0</v>
      </c>
      <c r="F930" s="31">
        <f t="shared" si="211"/>
        <v>0</v>
      </c>
      <c r="G930" s="31">
        <f t="shared" si="211"/>
        <v>0</v>
      </c>
      <c r="H930" s="31">
        <f t="shared" si="211"/>
        <v>0</v>
      </c>
      <c r="I930" s="31">
        <f t="shared" si="211"/>
        <v>0</v>
      </c>
      <c r="J930" s="31">
        <f t="shared" si="211"/>
        <v>0</v>
      </c>
      <c r="K930" s="33">
        <f t="shared" si="211"/>
        <v>0</v>
      </c>
      <c r="L930" s="31">
        <f t="shared" si="211"/>
        <v>0</v>
      </c>
      <c r="M930" s="31">
        <f t="shared" si="211"/>
        <v>785</v>
      </c>
      <c r="N930" s="31">
        <f t="shared" si="211"/>
        <v>4434536.3099999996</v>
      </c>
      <c r="O930" s="31">
        <f t="shared" si="211"/>
        <v>0</v>
      </c>
      <c r="P930" s="31">
        <f t="shared" si="211"/>
        <v>0</v>
      </c>
      <c r="Q930" s="31">
        <f t="shared" si="211"/>
        <v>0</v>
      </c>
      <c r="R930" s="31">
        <f t="shared" si="211"/>
        <v>0</v>
      </c>
      <c r="S930" s="31">
        <f t="shared" si="211"/>
        <v>0</v>
      </c>
      <c r="T930" s="31">
        <f t="shared" si="211"/>
        <v>0</v>
      </c>
      <c r="U930" s="31">
        <f t="shared" si="211"/>
        <v>0</v>
      </c>
      <c r="V930" s="31">
        <f t="shared" si="211"/>
        <v>0</v>
      </c>
      <c r="W930" s="31">
        <f t="shared" si="211"/>
        <v>0</v>
      </c>
      <c r="X930" s="31">
        <f t="shared" si="211"/>
        <v>0</v>
      </c>
      <c r="Y930" s="31">
        <f t="shared" si="211"/>
        <v>0</v>
      </c>
      <c r="Z930" s="31">
        <f t="shared" si="211"/>
        <v>0</v>
      </c>
      <c r="AA930" s="31">
        <f t="shared" si="211"/>
        <v>0</v>
      </c>
      <c r="AB930" s="31">
        <f t="shared" si="211"/>
        <v>0</v>
      </c>
      <c r="AC930" s="31">
        <f t="shared" si="211"/>
        <v>66518.039999999994</v>
      </c>
      <c r="AD930" s="31">
        <f t="shared" si="211"/>
        <v>150000</v>
      </c>
      <c r="AE930" s="31">
        <f t="shared" si="211"/>
        <v>0</v>
      </c>
      <c r="AF930" s="72" t="s">
        <v>776</v>
      </c>
      <c r="AG930" s="72" t="s">
        <v>776</v>
      </c>
      <c r="AH930" s="88" t="s">
        <v>776</v>
      </c>
      <c r="AT930" s="20" t="e">
        <f t="shared" si="203"/>
        <v>#N/A</v>
      </c>
      <c r="BZ930" s="71">
        <v>4651054.3499999996</v>
      </c>
      <c r="CD930" s="20" t="e">
        <f t="shared" si="199"/>
        <v>#N/A</v>
      </c>
    </row>
    <row r="931" spans="1:82" ht="61.5" x14ac:dyDescent="0.85">
      <c r="A931" s="20">
        <v>1</v>
      </c>
      <c r="B931" s="66">
        <f>SUBTOTAL(103,$A$552:A931)</f>
        <v>334</v>
      </c>
      <c r="C931" s="24" t="s">
        <v>156</v>
      </c>
      <c r="D931" s="31">
        <f>E931+F931+G931+H931+I931+J931+L931+N931+P931+R931+T931+U931+V931+W931+X931+Y931+Z931+AA931+AB931+AC931+AD931+AE931</f>
        <v>4651054.3499999996</v>
      </c>
      <c r="E931" s="31">
        <v>0</v>
      </c>
      <c r="F931" s="31">
        <v>0</v>
      </c>
      <c r="G931" s="31">
        <v>0</v>
      </c>
      <c r="H931" s="31">
        <v>0</v>
      </c>
      <c r="I931" s="31">
        <v>0</v>
      </c>
      <c r="J931" s="31">
        <v>0</v>
      </c>
      <c r="K931" s="33">
        <v>0</v>
      </c>
      <c r="L931" s="31">
        <v>0</v>
      </c>
      <c r="M931" s="31">
        <v>785</v>
      </c>
      <c r="N931" s="31">
        <v>4434536.3099999996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31">
        <v>0</v>
      </c>
      <c r="U931" s="31">
        <v>0</v>
      </c>
      <c r="V931" s="31">
        <v>0</v>
      </c>
      <c r="W931" s="31">
        <v>0</v>
      </c>
      <c r="X931" s="31">
        <v>0</v>
      </c>
      <c r="Y931" s="31">
        <v>0</v>
      </c>
      <c r="Z931" s="31">
        <v>0</v>
      </c>
      <c r="AA931" s="31">
        <v>0</v>
      </c>
      <c r="AB931" s="31">
        <v>0</v>
      </c>
      <c r="AC931" s="31">
        <f>ROUND(N931*1.5%,2)</f>
        <v>66518.039999999994</v>
      </c>
      <c r="AD931" s="31">
        <v>150000</v>
      </c>
      <c r="AE931" s="31">
        <v>0</v>
      </c>
      <c r="AF931" s="34">
        <v>2021</v>
      </c>
      <c r="AG931" s="34">
        <v>2021</v>
      </c>
      <c r="AH931" s="35">
        <v>2021</v>
      </c>
      <c r="AT931" s="20" t="e">
        <f t="shared" si="203"/>
        <v>#N/A</v>
      </c>
      <c r="BZ931" s="71"/>
      <c r="CD931" s="20" t="e">
        <f t="shared" si="199"/>
        <v>#N/A</v>
      </c>
    </row>
    <row r="932" spans="1:82" ht="61.5" x14ac:dyDescent="0.85">
      <c r="B932" s="24" t="s">
        <v>877</v>
      </c>
      <c r="C932" s="24"/>
      <c r="D932" s="31">
        <f>D933</f>
        <v>3145116.58</v>
      </c>
      <c r="E932" s="31">
        <f t="shared" ref="E932:AE932" si="212">E933</f>
        <v>0</v>
      </c>
      <c r="F932" s="31">
        <f t="shared" si="212"/>
        <v>0</v>
      </c>
      <c r="G932" s="31">
        <f t="shared" si="212"/>
        <v>0</v>
      </c>
      <c r="H932" s="31">
        <f t="shared" si="212"/>
        <v>0</v>
      </c>
      <c r="I932" s="31">
        <f t="shared" si="212"/>
        <v>0</v>
      </c>
      <c r="J932" s="31">
        <f t="shared" si="212"/>
        <v>0</v>
      </c>
      <c r="K932" s="33">
        <f t="shared" si="212"/>
        <v>0</v>
      </c>
      <c r="L932" s="31">
        <f t="shared" si="212"/>
        <v>0</v>
      </c>
      <c r="M932" s="31">
        <f t="shared" si="212"/>
        <v>602.30499999999995</v>
      </c>
      <c r="N932" s="31">
        <f t="shared" si="212"/>
        <v>2950853.77</v>
      </c>
      <c r="O932" s="31">
        <f t="shared" si="212"/>
        <v>0</v>
      </c>
      <c r="P932" s="31">
        <f t="shared" si="212"/>
        <v>0</v>
      </c>
      <c r="Q932" s="31">
        <f t="shared" si="212"/>
        <v>0</v>
      </c>
      <c r="R932" s="31">
        <f t="shared" si="212"/>
        <v>0</v>
      </c>
      <c r="S932" s="31">
        <f t="shared" si="212"/>
        <v>0</v>
      </c>
      <c r="T932" s="31">
        <f t="shared" si="212"/>
        <v>0</v>
      </c>
      <c r="U932" s="31">
        <f t="shared" si="212"/>
        <v>0</v>
      </c>
      <c r="V932" s="31">
        <f t="shared" si="212"/>
        <v>0</v>
      </c>
      <c r="W932" s="31">
        <f t="shared" si="212"/>
        <v>0</v>
      </c>
      <c r="X932" s="31">
        <f t="shared" si="212"/>
        <v>0</v>
      </c>
      <c r="Y932" s="31">
        <f t="shared" si="212"/>
        <v>0</v>
      </c>
      <c r="Z932" s="31">
        <f t="shared" si="212"/>
        <v>0</v>
      </c>
      <c r="AA932" s="31">
        <f t="shared" si="212"/>
        <v>0</v>
      </c>
      <c r="AB932" s="31">
        <f t="shared" si="212"/>
        <v>0</v>
      </c>
      <c r="AC932" s="31">
        <f t="shared" si="212"/>
        <v>44262.81</v>
      </c>
      <c r="AD932" s="31">
        <f t="shared" si="212"/>
        <v>150000</v>
      </c>
      <c r="AE932" s="31">
        <f t="shared" si="212"/>
        <v>0</v>
      </c>
      <c r="AF932" s="72" t="s">
        <v>776</v>
      </c>
      <c r="AG932" s="72" t="s">
        <v>776</v>
      </c>
      <c r="AH932" s="88" t="s">
        <v>776</v>
      </c>
      <c r="AT932" s="20" t="e">
        <f t="shared" si="203"/>
        <v>#N/A</v>
      </c>
      <c r="BZ932" s="31">
        <v>3145116.58</v>
      </c>
      <c r="CA932" s="31"/>
      <c r="CB932" s="31">
        <f>BZ932-D932</f>
        <v>0</v>
      </c>
      <c r="CD932" s="20" t="e">
        <f t="shared" si="199"/>
        <v>#N/A</v>
      </c>
    </row>
    <row r="933" spans="1:82" ht="61.5" x14ac:dyDescent="0.85">
      <c r="A933" s="20">
        <v>1</v>
      </c>
      <c r="B933" s="66">
        <f>SUBTOTAL(103,$A$552:A933)</f>
        <v>335</v>
      </c>
      <c r="C933" s="24" t="s">
        <v>155</v>
      </c>
      <c r="D933" s="31">
        <f>E933+F933+G933+H933+I933+J933+L933+N933+P933+R933+T933+U933+V933+W933+X933+Y933+Z933+AA933+AB933+AC933+AD933+AE933</f>
        <v>3145116.58</v>
      </c>
      <c r="E933" s="31">
        <v>0</v>
      </c>
      <c r="F933" s="31">
        <v>0</v>
      </c>
      <c r="G933" s="31">
        <v>0</v>
      </c>
      <c r="H933" s="31">
        <v>0</v>
      </c>
      <c r="I933" s="31">
        <v>0</v>
      </c>
      <c r="J933" s="31">
        <v>0</v>
      </c>
      <c r="K933" s="33">
        <v>0</v>
      </c>
      <c r="L933" s="31">
        <v>0</v>
      </c>
      <c r="M933" s="31">
        <v>602.30499999999995</v>
      </c>
      <c r="N933" s="31">
        <v>2950853.77</v>
      </c>
      <c r="O933" s="31">
        <v>0</v>
      </c>
      <c r="P933" s="31">
        <v>0</v>
      </c>
      <c r="Q933" s="31">
        <v>0</v>
      </c>
      <c r="R933" s="31">
        <v>0</v>
      </c>
      <c r="S933" s="31">
        <v>0</v>
      </c>
      <c r="T933" s="31">
        <v>0</v>
      </c>
      <c r="U933" s="31">
        <v>0</v>
      </c>
      <c r="V933" s="31">
        <v>0</v>
      </c>
      <c r="W933" s="31">
        <v>0</v>
      </c>
      <c r="X933" s="31">
        <v>0</v>
      </c>
      <c r="Y933" s="31">
        <v>0</v>
      </c>
      <c r="Z933" s="31">
        <v>0</v>
      </c>
      <c r="AA933" s="31">
        <v>0</v>
      </c>
      <c r="AB933" s="31">
        <v>0</v>
      </c>
      <c r="AC933" s="31">
        <f>ROUND(N933*1.5%,2)</f>
        <v>44262.81</v>
      </c>
      <c r="AD933" s="31">
        <v>150000</v>
      </c>
      <c r="AE933" s="31">
        <v>0</v>
      </c>
      <c r="AF933" s="34">
        <v>2021</v>
      </c>
      <c r="AG933" s="34">
        <v>2021</v>
      </c>
      <c r="AH933" s="35">
        <v>2021</v>
      </c>
      <c r="AT933" s="20" t="e">
        <f t="shared" si="203"/>
        <v>#N/A</v>
      </c>
      <c r="BZ933" s="71"/>
      <c r="CD933" s="20" t="e">
        <f t="shared" si="199"/>
        <v>#N/A</v>
      </c>
    </row>
    <row r="934" spans="1:82" ht="61.5" x14ac:dyDescent="0.85">
      <c r="B934" s="24" t="s">
        <v>878</v>
      </c>
      <c r="C934" s="24"/>
      <c r="D934" s="31">
        <f>SUM(D935:D937)</f>
        <v>17099543.050000001</v>
      </c>
      <c r="E934" s="31">
        <f t="shared" ref="E934:AE934" si="213">SUM(E935:E937)</f>
        <v>0</v>
      </c>
      <c r="F934" s="31">
        <f t="shared" si="213"/>
        <v>0</v>
      </c>
      <c r="G934" s="31">
        <f t="shared" si="213"/>
        <v>0</v>
      </c>
      <c r="H934" s="31">
        <f t="shared" si="213"/>
        <v>0</v>
      </c>
      <c r="I934" s="31">
        <f t="shared" si="213"/>
        <v>0</v>
      </c>
      <c r="J934" s="31">
        <f t="shared" si="213"/>
        <v>0</v>
      </c>
      <c r="K934" s="76">
        <f t="shared" si="213"/>
        <v>0</v>
      </c>
      <c r="L934" s="31">
        <f t="shared" si="213"/>
        <v>0</v>
      </c>
      <c r="M934" s="31">
        <f t="shared" si="213"/>
        <v>3385.4399999999996</v>
      </c>
      <c r="N934" s="31">
        <f t="shared" si="213"/>
        <v>16344377.390000001</v>
      </c>
      <c r="O934" s="31">
        <f t="shared" si="213"/>
        <v>0</v>
      </c>
      <c r="P934" s="31">
        <f t="shared" si="213"/>
        <v>0</v>
      </c>
      <c r="Q934" s="31">
        <f t="shared" si="213"/>
        <v>0</v>
      </c>
      <c r="R934" s="31">
        <f t="shared" si="213"/>
        <v>0</v>
      </c>
      <c r="S934" s="31">
        <f t="shared" si="213"/>
        <v>0</v>
      </c>
      <c r="T934" s="31">
        <f t="shared" si="213"/>
        <v>0</v>
      </c>
      <c r="U934" s="31">
        <f t="shared" si="213"/>
        <v>0</v>
      </c>
      <c r="V934" s="31">
        <f t="shared" si="213"/>
        <v>0</v>
      </c>
      <c r="W934" s="31">
        <f t="shared" si="213"/>
        <v>0</v>
      </c>
      <c r="X934" s="31">
        <f t="shared" si="213"/>
        <v>0</v>
      </c>
      <c r="Y934" s="31">
        <f t="shared" si="213"/>
        <v>0</v>
      </c>
      <c r="Z934" s="31">
        <f t="shared" si="213"/>
        <v>0</v>
      </c>
      <c r="AA934" s="31">
        <f t="shared" si="213"/>
        <v>0</v>
      </c>
      <c r="AB934" s="31">
        <f t="shared" si="213"/>
        <v>0</v>
      </c>
      <c r="AC934" s="31">
        <f t="shared" si="213"/>
        <v>245165.66</v>
      </c>
      <c r="AD934" s="31">
        <f t="shared" si="213"/>
        <v>510000</v>
      </c>
      <c r="AE934" s="31">
        <f t="shared" si="213"/>
        <v>0</v>
      </c>
      <c r="AF934" s="72" t="s">
        <v>776</v>
      </c>
      <c r="AG934" s="72" t="s">
        <v>776</v>
      </c>
      <c r="AH934" s="88" t="s">
        <v>776</v>
      </c>
      <c r="AT934" s="20" t="e">
        <f t="shared" si="203"/>
        <v>#N/A</v>
      </c>
      <c r="BZ934" s="71">
        <v>13767321.040000001</v>
      </c>
      <c r="CD934" s="20" t="e">
        <f t="shared" si="199"/>
        <v>#N/A</v>
      </c>
    </row>
    <row r="935" spans="1:82" ht="61.5" x14ac:dyDescent="0.85">
      <c r="A935" s="20">
        <v>1</v>
      </c>
      <c r="B935" s="66">
        <f>SUBTOTAL(103,$A$552:A935)</f>
        <v>336</v>
      </c>
      <c r="C935" s="24" t="s">
        <v>148</v>
      </c>
      <c r="D935" s="31">
        <f>E935+F935+G935+H935+I935+J935+L935+N935+P935+R935+T935+U935+V935+W935+X935+Y935+Z935+AA935+AB935+AC935+AD935+AE935</f>
        <v>6391288.3800000008</v>
      </c>
      <c r="E935" s="31">
        <v>0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3">
        <v>0</v>
      </c>
      <c r="L935" s="31">
        <v>0</v>
      </c>
      <c r="M935" s="31">
        <v>1101.8</v>
      </c>
      <c r="N935" s="31">
        <v>6119495.9400000004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1">
        <v>0</v>
      </c>
      <c r="Y935" s="31">
        <v>0</v>
      </c>
      <c r="Z935" s="31">
        <v>0</v>
      </c>
      <c r="AA935" s="31">
        <v>0</v>
      </c>
      <c r="AB935" s="31">
        <v>0</v>
      </c>
      <c r="AC935" s="31">
        <f>ROUND(N935*1.5%,2)</f>
        <v>91792.44</v>
      </c>
      <c r="AD935" s="31">
        <v>180000</v>
      </c>
      <c r="AE935" s="31">
        <v>0</v>
      </c>
      <c r="AF935" s="34">
        <v>2021</v>
      </c>
      <c r="AG935" s="34">
        <v>2021</v>
      </c>
      <c r="AH935" s="35">
        <v>2021</v>
      </c>
      <c r="AT935" s="20" t="e">
        <f t="shared" si="203"/>
        <v>#N/A</v>
      </c>
      <c r="BZ935" s="71"/>
      <c r="CD935" s="20" t="e">
        <f t="shared" si="199"/>
        <v>#N/A</v>
      </c>
    </row>
    <row r="936" spans="1:82" ht="61.5" x14ac:dyDescent="0.85">
      <c r="A936" s="20">
        <v>1</v>
      </c>
      <c r="B936" s="66">
        <f>SUBTOTAL(103,$A$552:A936)</f>
        <v>337</v>
      </c>
      <c r="C936" s="24" t="s">
        <v>160</v>
      </c>
      <c r="D936" s="31">
        <f>E936+F936+G936+H936+I936+J936+L936+N936+P936+R936+T936+U936+V936+W936+X936+Y936+Z936+AA936+AB936+AC936+AD936+AE936</f>
        <v>6834775.6500000004</v>
      </c>
      <c r="E936" s="31">
        <v>0</v>
      </c>
      <c r="F936" s="31">
        <v>0</v>
      </c>
      <c r="G936" s="31">
        <v>0</v>
      </c>
      <c r="H936" s="31">
        <v>0</v>
      </c>
      <c r="I936" s="31">
        <v>0</v>
      </c>
      <c r="J936" s="31">
        <v>0</v>
      </c>
      <c r="K936" s="33">
        <v>0</v>
      </c>
      <c r="L936" s="31">
        <v>0</v>
      </c>
      <c r="M936" s="31">
        <v>1541.85</v>
      </c>
      <c r="N936" s="31">
        <v>6556429.21</v>
      </c>
      <c r="O936" s="31">
        <v>0</v>
      </c>
      <c r="P936" s="31">
        <v>0</v>
      </c>
      <c r="Q936" s="31">
        <v>0</v>
      </c>
      <c r="R936" s="31">
        <v>0</v>
      </c>
      <c r="S936" s="31">
        <v>0</v>
      </c>
      <c r="T936" s="31">
        <v>0</v>
      </c>
      <c r="U936" s="31">
        <v>0</v>
      </c>
      <c r="V936" s="31">
        <v>0</v>
      </c>
      <c r="W936" s="31">
        <v>0</v>
      </c>
      <c r="X936" s="31">
        <v>0</v>
      </c>
      <c r="Y936" s="31">
        <v>0</v>
      </c>
      <c r="Z936" s="31">
        <v>0</v>
      </c>
      <c r="AA936" s="31">
        <v>0</v>
      </c>
      <c r="AB936" s="31">
        <v>0</v>
      </c>
      <c r="AC936" s="31">
        <f>ROUND(N936*1.5%,2)</f>
        <v>98346.44</v>
      </c>
      <c r="AD936" s="31">
        <v>180000</v>
      </c>
      <c r="AE936" s="31">
        <v>0</v>
      </c>
      <c r="AF936" s="34">
        <v>2021</v>
      </c>
      <c r="AG936" s="34">
        <v>2021</v>
      </c>
      <c r="AH936" s="35">
        <v>2021</v>
      </c>
      <c r="AT936" s="20" t="e">
        <f>VLOOKUP(C936,AW$936:AX$936,2,FALSE)</f>
        <v>#N/A</v>
      </c>
      <c r="BZ936" s="71"/>
      <c r="CD936" s="20" t="e">
        <f t="shared" si="199"/>
        <v>#N/A</v>
      </c>
    </row>
    <row r="937" spans="1:82" ht="61.5" x14ac:dyDescent="0.85">
      <c r="A937" s="20">
        <v>1</v>
      </c>
      <c r="B937" s="66">
        <f>SUBTOTAL(103,$A$552:A937)</f>
        <v>338</v>
      </c>
      <c r="C937" s="177" t="s">
        <v>161</v>
      </c>
      <c r="D937" s="31">
        <f>E937+F937+G937+H937+I937+J937+L937+N937+P937+R937+T937+U937+V937+W937+X937+Y937+Z937+AA937+AB937+AC937+AD937+AE937</f>
        <v>3873479.02</v>
      </c>
      <c r="E937" s="31">
        <v>0</v>
      </c>
      <c r="F937" s="31">
        <v>0</v>
      </c>
      <c r="G937" s="31">
        <v>0</v>
      </c>
      <c r="H937" s="31">
        <v>0</v>
      </c>
      <c r="I937" s="31">
        <v>0</v>
      </c>
      <c r="J937" s="31">
        <v>0</v>
      </c>
      <c r="K937" s="33">
        <v>0</v>
      </c>
      <c r="L937" s="31">
        <v>0</v>
      </c>
      <c r="M937" s="31">
        <v>741.79</v>
      </c>
      <c r="N937" s="31">
        <f>3668452.24</f>
        <v>3668452.24</v>
      </c>
      <c r="O937" s="31">
        <v>0</v>
      </c>
      <c r="P937" s="31">
        <v>0</v>
      </c>
      <c r="Q937" s="31">
        <v>0</v>
      </c>
      <c r="R937" s="31">
        <v>0</v>
      </c>
      <c r="S937" s="31">
        <v>0</v>
      </c>
      <c r="T937" s="31">
        <v>0</v>
      </c>
      <c r="U937" s="31">
        <v>0</v>
      </c>
      <c r="V937" s="31">
        <v>0</v>
      </c>
      <c r="W937" s="31">
        <v>0</v>
      </c>
      <c r="X937" s="31">
        <v>0</v>
      </c>
      <c r="Y937" s="31">
        <v>0</v>
      </c>
      <c r="Z937" s="31">
        <v>0</v>
      </c>
      <c r="AA937" s="31">
        <v>0</v>
      </c>
      <c r="AB937" s="31">
        <v>0</v>
      </c>
      <c r="AC937" s="31">
        <f>ROUND(N937*1.5%,2)</f>
        <v>55026.78</v>
      </c>
      <c r="AD937" s="31">
        <v>150000</v>
      </c>
      <c r="AE937" s="31">
        <v>0</v>
      </c>
      <c r="AF937" s="34">
        <v>2022</v>
      </c>
      <c r="AG937" s="34">
        <v>2022</v>
      </c>
      <c r="AH937" s="35">
        <v>2022</v>
      </c>
      <c r="AT937" s="20" t="e">
        <f>VLOOKUP(C937,AW:AX,2,FALSE)</f>
        <v>#N/A</v>
      </c>
      <c r="BZ937" s="71"/>
    </row>
    <row r="938" spans="1:82" ht="61.5" x14ac:dyDescent="0.85">
      <c r="B938" s="24" t="s">
        <v>879</v>
      </c>
      <c r="C938" s="129"/>
      <c r="D938" s="31">
        <f>SUM(D939:D941)</f>
        <v>11170130.879999999</v>
      </c>
      <c r="E938" s="31">
        <f t="shared" ref="E938:AE938" si="214">SUM(E939:E941)</f>
        <v>0</v>
      </c>
      <c r="F938" s="31">
        <f t="shared" si="214"/>
        <v>0</v>
      </c>
      <c r="G938" s="31">
        <f t="shared" si="214"/>
        <v>0</v>
      </c>
      <c r="H938" s="31">
        <f t="shared" si="214"/>
        <v>0</v>
      </c>
      <c r="I938" s="31">
        <f t="shared" si="214"/>
        <v>0</v>
      </c>
      <c r="J938" s="31">
        <f t="shared" si="214"/>
        <v>0</v>
      </c>
      <c r="K938" s="33">
        <f t="shared" si="214"/>
        <v>0</v>
      </c>
      <c r="L938" s="31">
        <f t="shared" si="214"/>
        <v>0</v>
      </c>
      <c r="M938" s="31">
        <f t="shared" si="214"/>
        <v>2086.42</v>
      </c>
      <c r="N938" s="31">
        <f t="shared" si="214"/>
        <v>10446434.370000001</v>
      </c>
      <c r="O938" s="31">
        <f t="shared" si="214"/>
        <v>0</v>
      </c>
      <c r="P938" s="31">
        <f t="shared" si="214"/>
        <v>0</v>
      </c>
      <c r="Q938" s="31">
        <f t="shared" si="214"/>
        <v>0</v>
      </c>
      <c r="R938" s="31">
        <f t="shared" si="214"/>
        <v>0</v>
      </c>
      <c r="S938" s="31">
        <f t="shared" si="214"/>
        <v>0</v>
      </c>
      <c r="T938" s="31">
        <f t="shared" si="214"/>
        <v>0</v>
      </c>
      <c r="U938" s="31">
        <f t="shared" si="214"/>
        <v>0</v>
      </c>
      <c r="V938" s="31">
        <f t="shared" si="214"/>
        <v>0</v>
      </c>
      <c r="W938" s="31">
        <f t="shared" si="214"/>
        <v>0</v>
      </c>
      <c r="X938" s="31">
        <f t="shared" si="214"/>
        <v>0</v>
      </c>
      <c r="Y938" s="31">
        <f t="shared" si="214"/>
        <v>0</v>
      </c>
      <c r="Z938" s="31">
        <f t="shared" si="214"/>
        <v>0</v>
      </c>
      <c r="AA938" s="31">
        <f t="shared" si="214"/>
        <v>0</v>
      </c>
      <c r="AB938" s="31">
        <f t="shared" si="214"/>
        <v>0</v>
      </c>
      <c r="AC938" s="31">
        <f t="shared" si="214"/>
        <v>156696.51</v>
      </c>
      <c r="AD938" s="31">
        <f t="shared" si="214"/>
        <v>447000</v>
      </c>
      <c r="AE938" s="31">
        <f t="shared" si="214"/>
        <v>120000</v>
      </c>
      <c r="AF938" s="72" t="s">
        <v>776</v>
      </c>
      <c r="AG938" s="72" t="s">
        <v>776</v>
      </c>
      <c r="AH938" s="88" t="s">
        <v>776</v>
      </c>
      <c r="AT938" s="20" t="e">
        <f>VLOOKUP(C938,AW:AX,2,FALSE)</f>
        <v>#N/A</v>
      </c>
      <c r="BZ938" s="71">
        <v>9023270.3999999985</v>
      </c>
      <c r="CD938" s="20" t="e">
        <f t="shared" ref="CD938:CD960" si="215">VLOOKUP(C938,CE:CF,2,FALSE)</f>
        <v>#N/A</v>
      </c>
    </row>
    <row r="939" spans="1:82" ht="61.5" x14ac:dyDescent="0.85">
      <c r="A939" s="20">
        <v>1</v>
      </c>
      <c r="B939" s="66">
        <f>SUBTOTAL(103,$A$552:A939)</f>
        <v>339</v>
      </c>
      <c r="C939" s="24" t="s">
        <v>97</v>
      </c>
      <c r="D939" s="31">
        <f>E939+F939+G939+H939+I939+J939+L939+N939+P939+R939+T939+U939+V939+W939+X939+Y939+Z939+AA939+AB939+AC939+AD939+AE939</f>
        <v>4020786</v>
      </c>
      <c r="E939" s="31">
        <v>0</v>
      </c>
      <c r="F939" s="31">
        <v>0</v>
      </c>
      <c r="G939" s="31">
        <v>0</v>
      </c>
      <c r="H939" s="31">
        <v>0</v>
      </c>
      <c r="I939" s="31">
        <v>0</v>
      </c>
      <c r="J939" s="31">
        <v>0</v>
      </c>
      <c r="K939" s="33">
        <v>0</v>
      </c>
      <c r="L939" s="31">
        <v>0</v>
      </c>
      <c r="M939" s="31">
        <v>770</v>
      </c>
      <c r="N939" s="31">
        <v>3813582.27</v>
      </c>
      <c r="O939" s="31">
        <v>0</v>
      </c>
      <c r="P939" s="31">
        <v>0</v>
      </c>
      <c r="Q939" s="31">
        <v>0</v>
      </c>
      <c r="R939" s="31">
        <v>0</v>
      </c>
      <c r="S939" s="31">
        <v>0</v>
      </c>
      <c r="T939" s="31">
        <v>0</v>
      </c>
      <c r="U939" s="31">
        <v>0</v>
      </c>
      <c r="V939" s="31">
        <v>0</v>
      </c>
      <c r="W939" s="31">
        <v>0</v>
      </c>
      <c r="X939" s="31">
        <v>0</v>
      </c>
      <c r="Y939" s="31">
        <v>0</v>
      </c>
      <c r="Z939" s="31">
        <v>0</v>
      </c>
      <c r="AA939" s="31">
        <v>0</v>
      </c>
      <c r="AB939" s="31">
        <v>0</v>
      </c>
      <c r="AC939" s="31">
        <f>ROUND(N939*1.5%,2)</f>
        <v>57203.73</v>
      </c>
      <c r="AD939" s="31">
        <v>150000</v>
      </c>
      <c r="AE939" s="31">
        <v>0</v>
      </c>
      <c r="AF939" s="34">
        <v>2021</v>
      </c>
      <c r="AG939" s="34">
        <v>2021</v>
      </c>
      <c r="AH939" s="35">
        <v>2021</v>
      </c>
      <c r="AT939" s="20" t="e">
        <f>VLOOKUP(C939,AW:AX,2,FALSE)</f>
        <v>#N/A</v>
      </c>
      <c r="BZ939" s="71"/>
      <c r="CD939" s="20" t="e">
        <f t="shared" si="215"/>
        <v>#N/A</v>
      </c>
    </row>
    <row r="940" spans="1:82" ht="61.5" x14ac:dyDescent="0.85">
      <c r="A940" s="20">
        <v>1</v>
      </c>
      <c r="B940" s="66">
        <f>SUBTOTAL(103,$A$552:A940)</f>
        <v>340</v>
      </c>
      <c r="C940" s="24" t="s">
        <v>96</v>
      </c>
      <c r="D940" s="31">
        <f>E940+F940+G940+H940+I940+J940+L940+N940+P940+R940+T940+U940+V940+W940+X940+Y940+Z940+AA940+AB940+AC940+AD940+AE940</f>
        <v>5002484.3999999994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3">
        <v>0</v>
      </c>
      <c r="L940" s="31">
        <v>0</v>
      </c>
      <c r="M940" s="31">
        <v>958</v>
      </c>
      <c r="N940" s="31">
        <v>4780772.8099999996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1">
        <v>0</v>
      </c>
      <c r="X940" s="31">
        <v>0</v>
      </c>
      <c r="Y940" s="31">
        <v>0</v>
      </c>
      <c r="Z940" s="31">
        <v>0</v>
      </c>
      <c r="AA940" s="31">
        <v>0</v>
      </c>
      <c r="AB940" s="31">
        <v>0</v>
      </c>
      <c r="AC940" s="31">
        <f>ROUND(N940*1.5%,2)</f>
        <v>71711.59</v>
      </c>
      <c r="AD940" s="31">
        <v>150000</v>
      </c>
      <c r="AE940" s="31">
        <v>0</v>
      </c>
      <c r="AF940" s="34">
        <v>2021</v>
      </c>
      <c r="AG940" s="34">
        <v>2021</v>
      </c>
      <c r="AH940" s="35">
        <v>2021</v>
      </c>
      <c r="AT940" s="20" t="e">
        <f>VLOOKUP(C940,AW:AX,2,FALSE)</f>
        <v>#N/A</v>
      </c>
      <c r="BZ940" s="71"/>
      <c r="CD940" s="20" t="e">
        <f t="shared" si="215"/>
        <v>#N/A</v>
      </c>
    </row>
    <row r="941" spans="1:82" s="155" customFormat="1" ht="61.5" x14ac:dyDescent="0.85">
      <c r="A941" s="155">
        <v>1</v>
      </c>
      <c r="B941" s="66">
        <f>SUBTOTAL(103,$A$552:A941)</f>
        <v>341</v>
      </c>
      <c r="C941" s="24" t="s">
        <v>1292</v>
      </c>
      <c r="D941" s="31">
        <f>E941+F941+G941+H941+I941+J941+L941+N941+P941+R941+T941+U941+V941+W941+X941+Y941+Z941+AA941+AB941+AC941+AD941+AE941</f>
        <v>2146860.48</v>
      </c>
      <c r="E941" s="31">
        <v>0</v>
      </c>
      <c r="F941" s="31">
        <v>0</v>
      </c>
      <c r="G941" s="31">
        <v>0</v>
      </c>
      <c r="H941" s="31">
        <v>0</v>
      </c>
      <c r="I941" s="31">
        <v>0</v>
      </c>
      <c r="J941" s="31">
        <v>0</v>
      </c>
      <c r="K941" s="33">
        <v>0</v>
      </c>
      <c r="L941" s="31">
        <v>0</v>
      </c>
      <c r="M941" s="31">
        <v>358.42</v>
      </c>
      <c r="N941" s="31">
        <v>1852079.29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0</v>
      </c>
      <c r="U941" s="31">
        <v>0</v>
      </c>
      <c r="V941" s="31">
        <v>0</v>
      </c>
      <c r="W941" s="31">
        <v>0</v>
      </c>
      <c r="X941" s="31">
        <v>0</v>
      </c>
      <c r="Y941" s="31">
        <v>0</v>
      </c>
      <c r="Z941" s="31">
        <v>0</v>
      </c>
      <c r="AA941" s="31">
        <v>0</v>
      </c>
      <c r="AB941" s="31">
        <v>0</v>
      </c>
      <c r="AC941" s="31">
        <f>ROUND(N941*1.5%,2)</f>
        <v>27781.19</v>
      </c>
      <c r="AD941" s="31">
        <v>147000</v>
      </c>
      <c r="AE941" s="31">
        <v>120000</v>
      </c>
      <c r="AF941" s="34">
        <v>2021</v>
      </c>
      <c r="AG941" s="34">
        <v>2021</v>
      </c>
      <c r="AH941" s="35">
        <v>2021</v>
      </c>
      <c r="AI941" s="20"/>
      <c r="AJ941" s="20"/>
      <c r="AK941" s="20"/>
      <c r="AL941" s="20"/>
      <c r="BZ941" s="156"/>
      <c r="CD941" s="155" t="e">
        <f t="shared" si="215"/>
        <v>#N/A</v>
      </c>
    </row>
    <row r="942" spans="1:82" ht="61.5" x14ac:dyDescent="0.85">
      <c r="B942" s="24" t="s">
        <v>880</v>
      </c>
      <c r="C942" s="24"/>
      <c r="D942" s="31">
        <f>D943</f>
        <v>3080862</v>
      </c>
      <c r="E942" s="31">
        <f t="shared" ref="E942:AE942" si="216">E943</f>
        <v>0</v>
      </c>
      <c r="F942" s="31">
        <f t="shared" si="216"/>
        <v>0</v>
      </c>
      <c r="G942" s="31">
        <f t="shared" si="216"/>
        <v>0</v>
      </c>
      <c r="H942" s="31">
        <f t="shared" si="216"/>
        <v>0</v>
      </c>
      <c r="I942" s="31">
        <f t="shared" si="216"/>
        <v>0</v>
      </c>
      <c r="J942" s="31">
        <f t="shared" si="216"/>
        <v>0</v>
      </c>
      <c r="K942" s="33">
        <f t="shared" si="216"/>
        <v>0</v>
      </c>
      <c r="L942" s="31">
        <f t="shared" si="216"/>
        <v>0</v>
      </c>
      <c r="M942" s="31">
        <f t="shared" si="216"/>
        <v>590</v>
      </c>
      <c r="N942" s="31">
        <f t="shared" si="216"/>
        <v>2887548.77</v>
      </c>
      <c r="O942" s="31">
        <f t="shared" si="216"/>
        <v>0</v>
      </c>
      <c r="P942" s="31">
        <f t="shared" si="216"/>
        <v>0</v>
      </c>
      <c r="Q942" s="31">
        <f t="shared" si="216"/>
        <v>0</v>
      </c>
      <c r="R942" s="31">
        <f t="shared" si="216"/>
        <v>0</v>
      </c>
      <c r="S942" s="31">
        <f t="shared" si="216"/>
        <v>0</v>
      </c>
      <c r="T942" s="31">
        <f t="shared" si="216"/>
        <v>0</v>
      </c>
      <c r="U942" s="31">
        <f t="shared" si="216"/>
        <v>0</v>
      </c>
      <c r="V942" s="31">
        <f t="shared" si="216"/>
        <v>0</v>
      </c>
      <c r="W942" s="31">
        <f t="shared" si="216"/>
        <v>0</v>
      </c>
      <c r="X942" s="31">
        <f t="shared" si="216"/>
        <v>0</v>
      </c>
      <c r="Y942" s="31">
        <f t="shared" si="216"/>
        <v>0</v>
      </c>
      <c r="Z942" s="31">
        <f t="shared" si="216"/>
        <v>0</v>
      </c>
      <c r="AA942" s="31">
        <f t="shared" si="216"/>
        <v>0</v>
      </c>
      <c r="AB942" s="31">
        <f t="shared" si="216"/>
        <v>0</v>
      </c>
      <c r="AC942" s="31">
        <f t="shared" si="216"/>
        <v>43313.23</v>
      </c>
      <c r="AD942" s="31">
        <f t="shared" si="216"/>
        <v>150000</v>
      </c>
      <c r="AE942" s="31">
        <f t="shared" si="216"/>
        <v>0</v>
      </c>
      <c r="AF942" s="72" t="s">
        <v>776</v>
      </c>
      <c r="AG942" s="72" t="s">
        <v>776</v>
      </c>
      <c r="AH942" s="88" t="s">
        <v>776</v>
      </c>
      <c r="AT942" s="20" t="e">
        <f t="shared" ref="AT942:AT969" si="217">VLOOKUP(C942,AW:AX,2,FALSE)</f>
        <v>#N/A</v>
      </c>
      <c r="BZ942" s="71">
        <v>3080862</v>
      </c>
      <c r="CD942" s="20" t="e">
        <f t="shared" si="215"/>
        <v>#N/A</v>
      </c>
    </row>
    <row r="943" spans="1:82" ht="61.5" x14ac:dyDescent="0.85">
      <c r="A943" s="20">
        <v>1</v>
      </c>
      <c r="B943" s="66">
        <f>SUBTOTAL(103,$A$552:A943)</f>
        <v>342</v>
      </c>
      <c r="C943" s="24" t="s">
        <v>98</v>
      </c>
      <c r="D943" s="31">
        <f>E943+F943+G943+H943+I943+J943+L943+N943+P943+R943+T943+U943+V943+W943+X943+Y943+Z943+AA943+AB943+AC943+AD943+AE943</f>
        <v>3080862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3">
        <v>0</v>
      </c>
      <c r="L943" s="31">
        <v>0</v>
      </c>
      <c r="M943" s="31">
        <v>590</v>
      </c>
      <c r="N943" s="31">
        <v>2887548.77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0</v>
      </c>
      <c r="U943" s="31">
        <v>0</v>
      </c>
      <c r="V943" s="31">
        <v>0</v>
      </c>
      <c r="W943" s="31">
        <v>0</v>
      </c>
      <c r="X943" s="31">
        <v>0</v>
      </c>
      <c r="Y943" s="31">
        <v>0</v>
      </c>
      <c r="Z943" s="31">
        <v>0</v>
      </c>
      <c r="AA943" s="31">
        <v>0</v>
      </c>
      <c r="AB943" s="31">
        <v>0</v>
      </c>
      <c r="AC943" s="31">
        <f>ROUND(N943*1.5%,2)</f>
        <v>43313.23</v>
      </c>
      <c r="AD943" s="31">
        <v>150000</v>
      </c>
      <c r="AE943" s="31">
        <v>0</v>
      </c>
      <c r="AF943" s="34">
        <v>2021</v>
      </c>
      <c r="AG943" s="34">
        <v>2021</v>
      </c>
      <c r="AH943" s="35">
        <v>2021</v>
      </c>
      <c r="AT943" s="20" t="e">
        <f t="shared" si="217"/>
        <v>#N/A</v>
      </c>
      <c r="BZ943" s="71"/>
      <c r="CD943" s="20" t="e">
        <f t="shared" si="215"/>
        <v>#N/A</v>
      </c>
    </row>
    <row r="944" spans="1:82" ht="61.5" x14ac:dyDescent="0.85">
      <c r="B944" s="24" t="s">
        <v>904</v>
      </c>
      <c r="C944" s="24"/>
      <c r="D944" s="31">
        <f>D945</f>
        <v>3655260</v>
      </c>
      <c r="E944" s="31">
        <f t="shared" ref="E944:AA944" si="218">E945</f>
        <v>0</v>
      </c>
      <c r="F944" s="31">
        <f t="shared" si="218"/>
        <v>0</v>
      </c>
      <c r="G944" s="31">
        <f t="shared" si="218"/>
        <v>0</v>
      </c>
      <c r="H944" s="31">
        <f t="shared" si="218"/>
        <v>0</v>
      </c>
      <c r="I944" s="31">
        <f t="shared" si="218"/>
        <v>0</v>
      </c>
      <c r="J944" s="31">
        <f t="shared" si="218"/>
        <v>0</v>
      </c>
      <c r="K944" s="33">
        <f t="shared" si="218"/>
        <v>0</v>
      </c>
      <c r="L944" s="31">
        <f t="shared" si="218"/>
        <v>0</v>
      </c>
      <c r="M944" s="31">
        <f t="shared" si="218"/>
        <v>700</v>
      </c>
      <c r="N944" s="31">
        <f t="shared" si="218"/>
        <v>3453458.13</v>
      </c>
      <c r="O944" s="31">
        <f t="shared" si="218"/>
        <v>0</v>
      </c>
      <c r="P944" s="31">
        <f t="shared" si="218"/>
        <v>0</v>
      </c>
      <c r="Q944" s="31">
        <f t="shared" si="218"/>
        <v>0</v>
      </c>
      <c r="R944" s="31">
        <f t="shared" si="218"/>
        <v>0</v>
      </c>
      <c r="S944" s="31">
        <f t="shared" si="218"/>
        <v>0</v>
      </c>
      <c r="T944" s="31">
        <f t="shared" si="218"/>
        <v>0</v>
      </c>
      <c r="U944" s="31">
        <f t="shared" si="218"/>
        <v>0</v>
      </c>
      <c r="V944" s="31">
        <f t="shared" si="218"/>
        <v>0</v>
      </c>
      <c r="W944" s="31">
        <f t="shared" si="218"/>
        <v>0</v>
      </c>
      <c r="X944" s="31">
        <f t="shared" si="218"/>
        <v>0</v>
      </c>
      <c r="Y944" s="31">
        <f t="shared" si="218"/>
        <v>0</v>
      </c>
      <c r="Z944" s="31">
        <f t="shared" si="218"/>
        <v>0</v>
      </c>
      <c r="AA944" s="31">
        <f t="shared" si="218"/>
        <v>0</v>
      </c>
      <c r="AB944" s="31">
        <f>AB945</f>
        <v>0</v>
      </c>
      <c r="AC944" s="31">
        <f>AC945</f>
        <v>51801.87</v>
      </c>
      <c r="AD944" s="31">
        <f>AD945</f>
        <v>150000</v>
      </c>
      <c r="AE944" s="31">
        <f>AE945</f>
        <v>0</v>
      </c>
      <c r="AF944" s="72" t="s">
        <v>776</v>
      </c>
      <c r="AG944" s="72" t="s">
        <v>776</v>
      </c>
      <c r="AH944" s="88" t="s">
        <v>776</v>
      </c>
      <c r="AT944" s="20" t="e">
        <f t="shared" si="217"/>
        <v>#N/A</v>
      </c>
      <c r="BZ944" s="71">
        <v>3655260</v>
      </c>
      <c r="CD944" s="20" t="e">
        <f t="shared" si="215"/>
        <v>#N/A</v>
      </c>
    </row>
    <row r="945" spans="1:82" ht="61.5" x14ac:dyDescent="0.85">
      <c r="A945" s="20">
        <v>1</v>
      </c>
      <c r="B945" s="66">
        <f>SUBTOTAL(103,$A$552:A945)</f>
        <v>343</v>
      </c>
      <c r="C945" s="24" t="s">
        <v>99</v>
      </c>
      <c r="D945" s="31">
        <f>E945+F945+G945+H945+I945+J945+L945+N945+P945+R945+T945+U945+V945+W945+X945+Y945+Z945+AA945+AB945+AC945+AD945+AE945</f>
        <v>3655260</v>
      </c>
      <c r="E945" s="31">
        <v>0</v>
      </c>
      <c r="F945" s="31">
        <v>0</v>
      </c>
      <c r="G945" s="31">
        <v>0</v>
      </c>
      <c r="H945" s="31">
        <v>0</v>
      </c>
      <c r="I945" s="31">
        <v>0</v>
      </c>
      <c r="J945" s="31">
        <v>0</v>
      </c>
      <c r="K945" s="33">
        <v>0</v>
      </c>
      <c r="L945" s="31">
        <v>0</v>
      </c>
      <c r="M945" s="31">
        <v>700</v>
      </c>
      <c r="N945" s="31">
        <v>3453458.13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31">
        <v>0</v>
      </c>
      <c r="W945" s="31">
        <v>0</v>
      </c>
      <c r="X945" s="31">
        <v>0</v>
      </c>
      <c r="Y945" s="31">
        <v>0</v>
      </c>
      <c r="Z945" s="31">
        <v>0</v>
      </c>
      <c r="AA945" s="31">
        <v>0</v>
      </c>
      <c r="AB945" s="31">
        <v>0</v>
      </c>
      <c r="AC945" s="31">
        <f>ROUND(N945*1.5%,2)</f>
        <v>51801.87</v>
      </c>
      <c r="AD945" s="31">
        <v>150000</v>
      </c>
      <c r="AE945" s="31">
        <v>0</v>
      </c>
      <c r="AF945" s="34">
        <v>2021</v>
      </c>
      <c r="AG945" s="34">
        <v>2021</v>
      </c>
      <c r="AH945" s="35">
        <v>2021</v>
      </c>
      <c r="AT945" s="20" t="e">
        <f t="shared" si="217"/>
        <v>#N/A</v>
      </c>
      <c r="BZ945" s="71"/>
      <c r="CD945" s="20" t="e">
        <f t="shared" si="215"/>
        <v>#N/A</v>
      </c>
    </row>
    <row r="946" spans="1:82" ht="61.5" x14ac:dyDescent="0.85">
      <c r="B946" s="24" t="s">
        <v>882</v>
      </c>
      <c r="C946" s="24"/>
      <c r="D946" s="31">
        <f>D947</f>
        <v>3080862</v>
      </c>
      <c r="E946" s="31">
        <f t="shared" ref="E946:AE946" si="219">E947</f>
        <v>0</v>
      </c>
      <c r="F946" s="31">
        <f t="shared" si="219"/>
        <v>0</v>
      </c>
      <c r="G946" s="31">
        <f t="shared" si="219"/>
        <v>0</v>
      </c>
      <c r="H946" s="31">
        <f t="shared" si="219"/>
        <v>0</v>
      </c>
      <c r="I946" s="31">
        <f t="shared" si="219"/>
        <v>0</v>
      </c>
      <c r="J946" s="31">
        <f t="shared" si="219"/>
        <v>0</v>
      </c>
      <c r="K946" s="33">
        <f t="shared" si="219"/>
        <v>0</v>
      </c>
      <c r="L946" s="31">
        <f t="shared" si="219"/>
        <v>0</v>
      </c>
      <c r="M946" s="31">
        <f t="shared" si="219"/>
        <v>590</v>
      </c>
      <c r="N946" s="31">
        <f t="shared" si="219"/>
        <v>2887548.77</v>
      </c>
      <c r="O946" s="31">
        <f t="shared" si="219"/>
        <v>0</v>
      </c>
      <c r="P946" s="31">
        <f t="shared" si="219"/>
        <v>0</v>
      </c>
      <c r="Q946" s="31">
        <f t="shared" si="219"/>
        <v>0</v>
      </c>
      <c r="R946" s="31">
        <f t="shared" si="219"/>
        <v>0</v>
      </c>
      <c r="S946" s="31">
        <f t="shared" si="219"/>
        <v>0</v>
      </c>
      <c r="T946" s="31">
        <f t="shared" si="219"/>
        <v>0</v>
      </c>
      <c r="U946" s="31">
        <f t="shared" si="219"/>
        <v>0</v>
      </c>
      <c r="V946" s="31">
        <f t="shared" si="219"/>
        <v>0</v>
      </c>
      <c r="W946" s="31">
        <f t="shared" si="219"/>
        <v>0</v>
      </c>
      <c r="X946" s="31">
        <f t="shared" si="219"/>
        <v>0</v>
      </c>
      <c r="Y946" s="31">
        <f t="shared" si="219"/>
        <v>0</v>
      </c>
      <c r="Z946" s="31">
        <f t="shared" si="219"/>
        <v>0</v>
      </c>
      <c r="AA946" s="31">
        <f t="shared" si="219"/>
        <v>0</v>
      </c>
      <c r="AB946" s="31">
        <f t="shared" si="219"/>
        <v>0</v>
      </c>
      <c r="AC946" s="31">
        <f t="shared" si="219"/>
        <v>43313.23</v>
      </c>
      <c r="AD946" s="31">
        <f t="shared" si="219"/>
        <v>150000</v>
      </c>
      <c r="AE946" s="31">
        <f t="shared" si="219"/>
        <v>0</v>
      </c>
      <c r="AF946" s="72" t="s">
        <v>776</v>
      </c>
      <c r="AG946" s="72" t="s">
        <v>776</v>
      </c>
      <c r="AH946" s="88" t="s">
        <v>776</v>
      </c>
      <c r="AT946" s="20" t="e">
        <f t="shared" si="217"/>
        <v>#N/A</v>
      </c>
      <c r="BZ946" s="71">
        <v>3080862</v>
      </c>
      <c r="CD946" s="20" t="e">
        <f t="shared" si="215"/>
        <v>#N/A</v>
      </c>
    </row>
    <row r="947" spans="1:82" ht="61.5" x14ac:dyDescent="0.85">
      <c r="A947" s="20">
        <v>1</v>
      </c>
      <c r="B947" s="66">
        <f>SUBTOTAL(103,$A$552:A947)</f>
        <v>344</v>
      </c>
      <c r="C947" s="24" t="s">
        <v>100</v>
      </c>
      <c r="D947" s="31">
        <f>E947+F947+G947+H947+I947+J947+L947+N947+P947+R947+T947+U947+V947+W947+X947+Y947+Z947+AA947+AB947+AC947+AD947+AE947</f>
        <v>3080862</v>
      </c>
      <c r="E947" s="31">
        <v>0</v>
      </c>
      <c r="F947" s="31">
        <v>0</v>
      </c>
      <c r="G947" s="31">
        <v>0</v>
      </c>
      <c r="H947" s="31">
        <v>0</v>
      </c>
      <c r="I947" s="31">
        <v>0</v>
      </c>
      <c r="J947" s="31">
        <v>0</v>
      </c>
      <c r="K947" s="33">
        <v>0</v>
      </c>
      <c r="L947" s="31">
        <v>0</v>
      </c>
      <c r="M947" s="31">
        <v>590</v>
      </c>
      <c r="N947" s="31">
        <v>2887548.77</v>
      </c>
      <c r="O947" s="31">
        <v>0</v>
      </c>
      <c r="P947" s="31">
        <v>0</v>
      </c>
      <c r="Q947" s="31">
        <v>0</v>
      </c>
      <c r="R947" s="31">
        <v>0</v>
      </c>
      <c r="S947" s="31">
        <v>0</v>
      </c>
      <c r="T947" s="31">
        <v>0</v>
      </c>
      <c r="U947" s="31">
        <v>0</v>
      </c>
      <c r="V947" s="31">
        <v>0</v>
      </c>
      <c r="W947" s="31">
        <v>0</v>
      </c>
      <c r="X947" s="31">
        <v>0</v>
      </c>
      <c r="Y947" s="31">
        <v>0</v>
      </c>
      <c r="Z947" s="31">
        <v>0</v>
      </c>
      <c r="AA947" s="31">
        <v>0</v>
      </c>
      <c r="AB947" s="31">
        <v>0</v>
      </c>
      <c r="AC947" s="31">
        <f>ROUND(N947*1.5%,2)</f>
        <v>43313.23</v>
      </c>
      <c r="AD947" s="31">
        <v>150000</v>
      </c>
      <c r="AE947" s="31">
        <v>0</v>
      </c>
      <c r="AF947" s="34">
        <v>2021</v>
      </c>
      <c r="AG947" s="34">
        <v>2021</v>
      </c>
      <c r="AH947" s="35">
        <v>2021</v>
      </c>
      <c r="AT947" s="20" t="e">
        <f t="shared" si="217"/>
        <v>#N/A</v>
      </c>
      <c r="BZ947" s="71"/>
      <c r="CD947" s="20" t="e">
        <f t="shared" si="215"/>
        <v>#N/A</v>
      </c>
    </row>
    <row r="948" spans="1:82" ht="61.5" x14ac:dyDescent="0.85">
      <c r="B948" s="24" t="s">
        <v>883</v>
      </c>
      <c r="C948" s="129"/>
      <c r="D948" s="31">
        <f>D949+D950+D951</f>
        <v>7774419.2400000002</v>
      </c>
      <c r="E948" s="31">
        <f t="shared" ref="E948:AE948" si="220">E949+E950+E951</f>
        <v>0</v>
      </c>
      <c r="F948" s="31">
        <f t="shared" si="220"/>
        <v>0</v>
      </c>
      <c r="G948" s="31">
        <f t="shared" si="220"/>
        <v>0</v>
      </c>
      <c r="H948" s="31">
        <f t="shared" si="220"/>
        <v>0</v>
      </c>
      <c r="I948" s="31">
        <f t="shared" si="220"/>
        <v>0</v>
      </c>
      <c r="J948" s="31">
        <f t="shared" si="220"/>
        <v>0</v>
      </c>
      <c r="K948" s="33">
        <f t="shared" si="220"/>
        <v>0</v>
      </c>
      <c r="L948" s="31">
        <f t="shared" si="220"/>
        <v>0</v>
      </c>
      <c r="M948" s="31">
        <f t="shared" si="220"/>
        <v>1206</v>
      </c>
      <c r="N948" s="31">
        <f t="shared" si="220"/>
        <v>5645911.3300000001</v>
      </c>
      <c r="O948" s="31">
        <f t="shared" si="220"/>
        <v>0</v>
      </c>
      <c r="P948" s="31">
        <f t="shared" si="220"/>
        <v>0</v>
      </c>
      <c r="Q948" s="31">
        <f t="shared" si="220"/>
        <v>531</v>
      </c>
      <c r="R948" s="31">
        <f t="shared" si="220"/>
        <v>1471743.09</v>
      </c>
      <c r="S948" s="31">
        <f t="shared" si="220"/>
        <v>0</v>
      </c>
      <c r="T948" s="31">
        <f t="shared" si="220"/>
        <v>0</v>
      </c>
      <c r="U948" s="31">
        <f t="shared" si="220"/>
        <v>0</v>
      </c>
      <c r="V948" s="31">
        <f t="shared" si="220"/>
        <v>0</v>
      </c>
      <c r="W948" s="31">
        <f t="shared" si="220"/>
        <v>0</v>
      </c>
      <c r="X948" s="31">
        <f t="shared" si="220"/>
        <v>0</v>
      </c>
      <c r="Y948" s="31">
        <f t="shared" si="220"/>
        <v>0</v>
      </c>
      <c r="Z948" s="31">
        <f t="shared" si="220"/>
        <v>0</v>
      </c>
      <c r="AA948" s="31">
        <f t="shared" si="220"/>
        <v>0</v>
      </c>
      <c r="AB948" s="31">
        <f t="shared" si="220"/>
        <v>0</v>
      </c>
      <c r="AC948" s="31">
        <f t="shared" si="220"/>
        <v>106764.82</v>
      </c>
      <c r="AD948" s="31">
        <f t="shared" si="220"/>
        <v>430000</v>
      </c>
      <c r="AE948" s="31">
        <f t="shared" si="220"/>
        <v>120000</v>
      </c>
      <c r="AF948" s="72" t="s">
        <v>776</v>
      </c>
      <c r="AG948" s="72" t="s">
        <v>776</v>
      </c>
      <c r="AH948" s="88" t="s">
        <v>776</v>
      </c>
      <c r="AT948" s="20" t="e">
        <f t="shared" si="217"/>
        <v>#N/A</v>
      </c>
      <c r="BZ948" s="71">
        <v>7774419.2400000002</v>
      </c>
      <c r="CD948" s="20" t="e">
        <f t="shared" si="215"/>
        <v>#N/A</v>
      </c>
    </row>
    <row r="949" spans="1:82" ht="61.5" x14ac:dyDescent="0.85">
      <c r="A949" s="20">
        <v>1</v>
      </c>
      <c r="B949" s="66">
        <f>SUBTOTAL(103,$A$552:A949)</f>
        <v>345</v>
      </c>
      <c r="C949" s="24" t="s">
        <v>193</v>
      </c>
      <c r="D949" s="31">
        <f>E949+F949+G949+H949+I949+J949+L949+N949+P949+R949+T949+U949+V949+W949+X949+Y949+Z949+AA949+AB949+AC949+AD949+AE949</f>
        <v>3549600</v>
      </c>
      <c r="E949" s="31">
        <v>0</v>
      </c>
      <c r="F949" s="31">
        <v>0</v>
      </c>
      <c r="G949" s="31">
        <v>0</v>
      </c>
      <c r="H949" s="31">
        <v>0</v>
      </c>
      <c r="I949" s="31">
        <v>0</v>
      </c>
      <c r="J949" s="31">
        <v>0</v>
      </c>
      <c r="K949" s="33">
        <v>0</v>
      </c>
      <c r="L949" s="31">
        <v>0</v>
      </c>
      <c r="M949" s="31">
        <v>696</v>
      </c>
      <c r="N949" s="31">
        <v>3349359.61</v>
      </c>
      <c r="O949" s="31">
        <v>0</v>
      </c>
      <c r="P949" s="31">
        <v>0</v>
      </c>
      <c r="Q949" s="31">
        <v>0</v>
      </c>
      <c r="R949" s="31">
        <v>0</v>
      </c>
      <c r="S949" s="31">
        <v>0</v>
      </c>
      <c r="T949" s="31">
        <v>0</v>
      </c>
      <c r="U949" s="31">
        <v>0</v>
      </c>
      <c r="V949" s="31">
        <v>0</v>
      </c>
      <c r="W949" s="31">
        <v>0</v>
      </c>
      <c r="X949" s="31">
        <v>0</v>
      </c>
      <c r="Y949" s="31">
        <v>0</v>
      </c>
      <c r="Z949" s="31">
        <v>0</v>
      </c>
      <c r="AA949" s="31">
        <v>0</v>
      </c>
      <c r="AB949" s="31">
        <v>0</v>
      </c>
      <c r="AC949" s="31">
        <f>ROUND(N949*1.5%,2)</f>
        <v>50240.39</v>
      </c>
      <c r="AD949" s="31">
        <v>150000</v>
      </c>
      <c r="AE949" s="31">
        <v>0</v>
      </c>
      <c r="AF949" s="34">
        <v>2021</v>
      </c>
      <c r="AG949" s="34">
        <v>2021</v>
      </c>
      <c r="AH949" s="35">
        <v>2021</v>
      </c>
      <c r="AT949" s="20" t="e">
        <f t="shared" si="217"/>
        <v>#N/A</v>
      </c>
      <c r="BZ949" s="71"/>
      <c r="CD949" s="20" t="e">
        <f t="shared" si="215"/>
        <v>#N/A</v>
      </c>
    </row>
    <row r="950" spans="1:82" ht="61.5" x14ac:dyDescent="0.85">
      <c r="A950" s="20">
        <v>1</v>
      </c>
      <c r="B950" s="66">
        <f>SUBTOTAL(103,$A$552:A950)</f>
        <v>346</v>
      </c>
      <c r="C950" s="24" t="s">
        <v>194</v>
      </c>
      <c r="D950" s="31">
        <f>E950+F950+G950+H950+I950+J950+L950+N950+P950+R950+T950+U950+V950+W950+X950+Y950+Z950+AA950+AB950+AC950+AD950+AE950</f>
        <v>2601000</v>
      </c>
      <c r="E950" s="31">
        <v>0</v>
      </c>
      <c r="F950" s="31">
        <v>0</v>
      </c>
      <c r="G950" s="31">
        <v>0</v>
      </c>
      <c r="H950" s="31">
        <v>0</v>
      </c>
      <c r="I950" s="31">
        <v>0</v>
      </c>
      <c r="J950" s="31">
        <v>0</v>
      </c>
      <c r="K950" s="33">
        <v>0</v>
      </c>
      <c r="L950" s="31">
        <v>0</v>
      </c>
      <c r="M950" s="31">
        <v>510</v>
      </c>
      <c r="N950" s="31">
        <f>2414778.33-118226.61</f>
        <v>2296551.7200000002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31">
        <v>0</v>
      </c>
      <c r="W950" s="31">
        <v>0</v>
      </c>
      <c r="X950" s="31">
        <v>0</v>
      </c>
      <c r="Y950" s="31">
        <v>0</v>
      </c>
      <c r="Z950" s="31">
        <v>0</v>
      </c>
      <c r="AA950" s="31">
        <v>0</v>
      </c>
      <c r="AB950" s="31">
        <v>0</v>
      </c>
      <c r="AC950" s="31">
        <f>ROUND(N950*1.5%,2)</f>
        <v>34448.28</v>
      </c>
      <c r="AD950" s="31">
        <v>150000</v>
      </c>
      <c r="AE950" s="31">
        <v>120000</v>
      </c>
      <c r="AF950" s="34">
        <v>2021</v>
      </c>
      <c r="AG950" s="34">
        <v>2021</v>
      </c>
      <c r="AH950" s="35">
        <v>2021</v>
      </c>
      <c r="AT950" s="20" t="e">
        <f t="shared" si="217"/>
        <v>#N/A</v>
      </c>
      <c r="BZ950" s="71"/>
      <c r="CD950" s="20" t="e">
        <f t="shared" si="215"/>
        <v>#N/A</v>
      </c>
    </row>
    <row r="951" spans="1:82" ht="61.5" x14ac:dyDescent="0.85">
      <c r="A951" s="20">
        <v>1</v>
      </c>
      <c r="B951" s="66">
        <f>SUBTOTAL(103,$A$552:A951)</f>
        <v>347</v>
      </c>
      <c r="C951" s="24" t="s">
        <v>195</v>
      </c>
      <c r="D951" s="31">
        <f>E951+F951+G951+H951+I951+J951+L951+N951+P951+R951+T951+U951+V951+W951+X951+Y951+Z951+AA951+AB951+AC951+AD951+AE951</f>
        <v>1623819.24</v>
      </c>
      <c r="E951" s="31">
        <v>0</v>
      </c>
      <c r="F951" s="31">
        <v>0</v>
      </c>
      <c r="G951" s="31">
        <v>0</v>
      </c>
      <c r="H951" s="31">
        <v>0</v>
      </c>
      <c r="I951" s="31">
        <v>0</v>
      </c>
      <c r="J951" s="31">
        <v>0</v>
      </c>
      <c r="K951" s="33">
        <v>0</v>
      </c>
      <c r="L951" s="31">
        <v>0</v>
      </c>
      <c r="M951" s="31">
        <v>0</v>
      </c>
      <c r="N951" s="31">
        <v>0</v>
      </c>
      <c r="O951" s="31">
        <v>0</v>
      </c>
      <c r="P951" s="31">
        <v>0</v>
      </c>
      <c r="Q951" s="31">
        <v>531</v>
      </c>
      <c r="R951" s="31">
        <v>1471743.09</v>
      </c>
      <c r="S951" s="31">
        <v>0</v>
      </c>
      <c r="T951" s="31">
        <v>0</v>
      </c>
      <c r="U951" s="31">
        <v>0</v>
      </c>
      <c r="V951" s="31">
        <v>0</v>
      </c>
      <c r="W951" s="31">
        <v>0</v>
      </c>
      <c r="X951" s="31">
        <v>0</v>
      </c>
      <c r="Y951" s="31">
        <v>0</v>
      </c>
      <c r="Z951" s="31">
        <v>0</v>
      </c>
      <c r="AA951" s="31">
        <v>0</v>
      </c>
      <c r="AB951" s="31">
        <v>0</v>
      </c>
      <c r="AC951" s="31">
        <f>ROUND(R951*1.5%,2)</f>
        <v>22076.15</v>
      </c>
      <c r="AD951" s="31">
        <v>130000</v>
      </c>
      <c r="AE951" s="31">
        <v>0</v>
      </c>
      <c r="AF951" s="34">
        <v>2021</v>
      </c>
      <c r="AG951" s="34">
        <v>2021</v>
      </c>
      <c r="AH951" s="35">
        <v>2021</v>
      </c>
      <c r="AT951" s="20" t="e">
        <f t="shared" si="217"/>
        <v>#N/A</v>
      </c>
      <c r="BZ951" s="71"/>
      <c r="CD951" s="20" t="e">
        <f t="shared" si="215"/>
        <v>#N/A</v>
      </c>
    </row>
    <row r="952" spans="1:82" ht="61.5" x14ac:dyDescent="0.85">
      <c r="B952" s="24" t="s">
        <v>885</v>
      </c>
      <c r="C952" s="24"/>
      <c r="D952" s="31">
        <f>D953</f>
        <v>4275483</v>
      </c>
      <c r="E952" s="31">
        <f t="shared" ref="E952:AE952" si="221">E953</f>
        <v>0</v>
      </c>
      <c r="F952" s="31">
        <f t="shared" si="221"/>
        <v>0</v>
      </c>
      <c r="G952" s="31">
        <f t="shared" si="221"/>
        <v>0</v>
      </c>
      <c r="H952" s="31">
        <f t="shared" si="221"/>
        <v>0</v>
      </c>
      <c r="I952" s="31">
        <f t="shared" si="221"/>
        <v>0</v>
      </c>
      <c r="J952" s="31">
        <f t="shared" si="221"/>
        <v>0</v>
      </c>
      <c r="K952" s="33">
        <f t="shared" si="221"/>
        <v>0</v>
      </c>
      <c r="L952" s="31">
        <f t="shared" si="221"/>
        <v>0</v>
      </c>
      <c r="M952" s="31">
        <f t="shared" si="221"/>
        <v>838.33</v>
      </c>
      <c r="N952" s="31">
        <f t="shared" si="221"/>
        <v>4064515.27</v>
      </c>
      <c r="O952" s="31">
        <f t="shared" si="221"/>
        <v>0</v>
      </c>
      <c r="P952" s="31">
        <f t="shared" si="221"/>
        <v>0</v>
      </c>
      <c r="Q952" s="31">
        <f t="shared" si="221"/>
        <v>0</v>
      </c>
      <c r="R952" s="31">
        <f t="shared" si="221"/>
        <v>0</v>
      </c>
      <c r="S952" s="31">
        <f t="shared" si="221"/>
        <v>0</v>
      </c>
      <c r="T952" s="31">
        <f t="shared" si="221"/>
        <v>0</v>
      </c>
      <c r="U952" s="31">
        <f t="shared" si="221"/>
        <v>0</v>
      </c>
      <c r="V952" s="31">
        <f t="shared" si="221"/>
        <v>0</v>
      </c>
      <c r="W952" s="31">
        <f t="shared" si="221"/>
        <v>0</v>
      </c>
      <c r="X952" s="31">
        <f t="shared" si="221"/>
        <v>0</v>
      </c>
      <c r="Y952" s="31">
        <f t="shared" si="221"/>
        <v>0</v>
      </c>
      <c r="Z952" s="31">
        <f t="shared" si="221"/>
        <v>0</v>
      </c>
      <c r="AA952" s="31">
        <f t="shared" si="221"/>
        <v>0</v>
      </c>
      <c r="AB952" s="31">
        <f t="shared" si="221"/>
        <v>0</v>
      </c>
      <c r="AC952" s="31">
        <f t="shared" si="221"/>
        <v>60967.73</v>
      </c>
      <c r="AD952" s="31">
        <f t="shared" si="221"/>
        <v>150000</v>
      </c>
      <c r="AE952" s="31">
        <f t="shared" si="221"/>
        <v>0</v>
      </c>
      <c r="AF952" s="72" t="s">
        <v>776</v>
      </c>
      <c r="AG952" s="72" t="s">
        <v>776</v>
      </c>
      <c r="AH952" s="88" t="s">
        <v>776</v>
      </c>
      <c r="AT952" s="20" t="e">
        <f t="shared" si="217"/>
        <v>#N/A</v>
      </c>
      <c r="BZ952" s="71">
        <v>4275483</v>
      </c>
      <c r="CD952" s="20" t="e">
        <f t="shared" si="215"/>
        <v>#N/A</v>
      </c>
    </row>
    <row r="953" spans="1:82" ht="61.5" x14ac:dyDescent="0.85">
      <c r="A953" s="20">
        <v>1</v>
      </c>
      <c r="B953" s="66">
        <f>SUBTOTAL(103,$A$552:A953)</f>
        <v>348</v>
      </c>
      <c r="C953" s="24" t="s">
        <v>197</v>
      </c>
      <c r="D953" s="31">
        <f>E953+F953+G953+H953+I953+J953+L953+N953+P953+R953+T953+U953+V953+W953+X953+Y953+Z953+AA953+AB953+AC953+AD953+AE953</f>
        <v>4275483</v>
      </c>
      <c r="E953" s="31">
        <v>0</v>
      </c>
      <c r="F953" s="31">
        <v>0</v>
      </c>
      <c r="G953" s="31">
        <v>0</v>
      </c>
      <c r="H953" s="31">
        <v>0</v>
      </c>
      <c r="I953" s="31">
        <v>0</v>
      </c>
      <c r="J953" s="31">
        <v>0</v>
      </c>
      <c r="K953" s="33">
        <v>0</v>
      </c>
      <c r="L953" s="31">
        <v>0</v>
      </c>
      <c r="M953" s="31">
        <v>838.33</v>
      </c>
      <c r="N953" s="31">
        <v>4064515.27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0</v>
      </c>
      <c r="U953" s="31">
        <v>0</v>
      </c>
      <c r="V953" s="31">
        <v>0</v>
      </c>
      <c r="W953" s="31">
        <v>0</v>
      </c>
      <c r="X953" s="31">
        <v>0</v>
      </c>
      <c r="Y953" s="31">
        <v>0</v>
      </c>
      <c r="Z953" s="31">
        <v>0</v>
      </c>
      <c r="AA953" s="31">
        <v>0</v>
      </c>
      <c r="AB953" s="31">
        <v>0</v>
      </c>
      <c r="AC953" s="31">
        <f>ROUND(N953*1.5%,2)</f>
        <v>60967.73</v>
      </c>
      <c r="AD953" s="31">
        <v>150000</v>
      </c>
      <c r="AE953" s="31">
        <v>0</v>
      </c>
      <c r="AF953" s="34">
        <v>2021</v>
      </c>
      <c r="AG953" s="34">
        <v>2021</v>
      </c>
      <c r="AH953" s="35">
        <v>2021</v>
      </c>
      <c r="AT953" s="20" t="e">
        <f t="shared" si="217"/>
        <v>#N/A</v>
      </c>
      <c r="BZ953" s="71"/>
      <c r="CD953" s="20" t="e">
        <f t="shared" si="215"/>
        <v>#N/A</v>
      </c>
    </row>
    <row r="954" spans="1:82" ht="61.5" x14ac:dyDescent="0.85">
      <c r="B954" s="24" t="s">
        <v>887</v>
      </c>
      <c r="C954" s="129"/>
      <c r="D954" s="31">
        <f>D955+D956</f>
        <v>9113700</v>
      </c>
      <c r="E954" s="31">
        <f t="shared" ref="E954:AE954" si="222">E955+E956</f>
        <v>0</v>
      </c>
      <c r="F954" s="31">
        <f t="shared" si="222"/>
        <v>0</v>
      </c>
      <c r="G954" s="31">
        <f t="shared" si="222"/>
        <v>0</v>
      </c>
      <c r="H954" s="31">
        <f t="shared" si="222"/>
        <v>0</v>
      </c>
      <c r="I954" s="31">
        <f t="shared" si="222"/>
        <v>0</v>
      </c>
      <c r="J954" s="31">
        <f t="shared" si="222"/>
        <v>0</v>
      </c>
      <c r="K954" s="33">
        <f t="shared" si="222"/>
        <v>0</v>
      </c>
      <c r="L954" s="31">
        <f t="shared" si="222"/>
        <v>0</v>
      </c>
      <c r="M954" s="31">
        <f t="shared" si="222"/>
        <v>1787</v>
      </c>
      <c r="N954" s="31">
        <f t="shared" si="222"/>
        <v>8653891.629999999</v>
      </c>
      <c r="O954" s="31">
        <f t="shared" si="222"/>
        <v>0</v>
      </c>
      <c r="P954" s="31">
        <f t="shared" si="222"/>
        <v>0</v>
      </c>
      <c r="Q954" s="31">
        <f t="shared" si="222"/>
        <v>0</v>
      </c>
      <c r="R954" s="31">
        <f t="shared" si="222"/>
        <v>0</v>
      </c>
      <c r="S954" s="31">
        <f t="shared" si="222"/>
        <v>0</v>
      </c>
      <c r="T954" s="31">
        <f t="shared" si="222"/>
        <v>0</v>
      </c>
      <c r="U954" s="31">
        <f t="shared" si="222"/>
        <v>0</v>
      </c>
      <c r="V954" s="31">
        <f t="shared" si="222"/>
        <v>0</v>
      </c>
      <c r="W954" s="31">
        <f t="shared" si="222"/>
        <v>0</v>
      </c>
      <c r="X954" s="31">
        <f t="shared" si="222"/>
        <v>0</v>
      </c>
      <c r="Y954" s="31">
        <f t="shared" si="222"/>
        <v>0</v>
      </c>
      <c r="Z954" s="31">
        <f t="shared" si="222"/>
        <v>0</v>
      </c>
      <c r="AA954" s="31">
        <f t="shared" si="222"/>
        <v>0</v>
      </c>
      <c r="AB954" s="31">
        <f t="shared" si="222"/>
        <v>0</v>
      </c>
      <c r="AC954" s="31">
        <f t="shared" si="222"/>
        <v>129808.37</v>
      </c>
      <c r="AD954" s="31">
        <f t="shared" si="222"/>
        <v>330000</v>
      </c>
      <c r="AE954" s="31">
        <f t="shared" si="222"/>
        <v>0</v>
      </c>
      <c r="AF954" s="72" t="s">
        <v>776</v>
      </c>
      <c r="AG954" s="72" t="s">
        <v>776</v>
      </c>
      <c r="AH954" s="88" t="s">
        <v>776</v>
      </c>
      <c r="AT954" s="20" t="e">
        <f t="shared" si="217"/>
        <v>#N/A</v>
      </c>
      <c r="BZ954" s="71">
        <v>9113700</v>
      </c>
      <c r="CD954" s="20" t="e">
        <f t="shared" si="215"/>
        <v>#N/A</v>
      </c>
    </row>
    <row r="955" spans="1:82" ht="61.5" x14ac:dyDescent="0.85">
      <c r="A955" s="20">
        <v>1</v>
      </c>
      <c r="B955" s="66">
        <f>SUBTOTAL(103,$A$552:A955)</f>
        <v>349</v>
      </c>
      <c r="C955" s="24" t="s">
        <v>216</v>
      </c>
      <c r="D955" s="31">
        <f>E955+F955+G955+H955+I955+J955+L955+N955+P955+R955+T955+U955+V955+W955+X955+Y955+Z955+AA955+AB955+AC955+AD955+AE955</f>
        <v>6135300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3">
        <v>0</v>
      </c>
      <c r="L955" s="31">
        <v>0</v>
      </c>
      <c r="M955" s="31">
        <v>1203</v>
      </c>
      <c r="N955" s="31">
        <v>5867290.6399999997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31">
        <v>0</v>
      </c>
      <c r="U955" s="31">
        <v>0</v>
      </c>
      <c r="V955" s="31">
        <v>0</v>
      </c>
      <c r="W955" s="31">
        <v>0</v>
      </c>
      <c r="X955" s="31">
        <v>0</v>
      </c>
      <c r="Y955" s="31">
        <v>0</v>
      </c>
      <c r="Z955" s="31">
        <v>0</v>
      </c>
      <c r="AA955" s="31">
        <v>0</v>
      </c>
      <c r="AB955" s="31">
        <v>0</v>
      </c>
      <c r="AC955" s="31">
        <f>ROUND(N955*1.5%,2)</f>
        <v>88009.36</v>
      </c>
      <c r="AD955" s="31">
        <v>180000</v>
      </c>
      <c r="AE955" s="31">
        <v>0</v>
      </c>
      <c r="AF955" s="34">
        <v>2021</v>
      </c>
      <c r="AG955" s="34">
        <v>2021</v>
      </c>
      <c r="AH955" s="35">
        <v>2021</v>
      </c>
      <c r="AT955" s="20" t="e">
        <f t="shared" si="217"/>
        <v>#N/A</v>
      </c>
      <c r="BZ955" s="71"/>
      <c r="CD955" s="20" t="e">
        <f t="shared" si="215"/>
        <v>#N/A</v>
      </c>
    </row>
    <row r="956" spans="1:82" ht="61.5" x14ac:dyDescent="0.85">
      <c r="A956" s="20">
        <v>1</v>
      </c>
      <c r="B956" s="66">
        <f>SUBTOTAL(103,$A$552:A956)</f>
        <v>350</v>
      </c>
      <c r="C956" s="24" t="s">
        <v>217</v>
      </c>
      <c r="D956" s="31">
        <f>E956+F956+G956+H956+I956+J956+L956+N956+P956+R956+T956+U956+V956+W956+X956+Y956+Z956+AA956+AB956+AC956+AD956+AE956</f>
        <v>2978400</v>
      </c>
      <c r="E956" s="31">
        <v>0</v>
      </c>
      <c r="F956" s="31">
        <v>0</v>
      </c>
      <c r="G956" s="31">
        <v>0</v>
      </c>
      <c r="H956" s="31">
        <v>0</v>
      </c>
      <c r="I956" s="31">
        <v>0</v>
      </c>
      <c r="J956" s="31">
        <v>0</v>
      </c>
      <c r="K956" s="33">
        <v>0</v>
      </c>
      <c r="L956" s="31">
        <v>0</v>
      </c>
      <c r="M956" s="31">
        <v>584</v>
      </c>
      <c r="N956" s="31">
        <v>2786600.99</v>
      </c>
      <c r="O956" s="31">
        <v>0</v>
      </c>
      <c r="P956" s="31">
        <v>0</v>
      </c>
      <c r="Q956" s="31">
        <v>0</v>
      </c>
      <c r="R956" s="31">
        <v>0</v>
      </c>
      <c r="S956" s="31">
        <v>0</v>
      </c>
      <c r="T956" s="31">
        <v>0</v>
      </c>
      <c r="U956" s="31">
        <v>0</v>
      </c>
      <c r="V956" s="31">
        <v>0</v>
      </c>
      <c r="W956" s="31">
        <v>0</v>
      </c>
      <c r="X956" s="31">
        <v>0</v>
      </c>
      <c r="Y956" s="31">
        <v>0</v>
      </c>
      <c r="Z956" s="31">
        <v>0</v>
      </c>
      <c r="AA956" s="31">
        <v>0</v>
      </c>
      <c r="AB956" s="31">
        <v>0</v>
      </c>
      <c r="AC956" s="31">
        <f>ROUND(N956*1.5%,2)</f>
        <v>41799.01</v>
      </c>
      <c r="AD956" s="31">
        <v>150000</v>
      </c>
      <c r="AE956" s="31">
        <v>0</v>
      </c>
      <c r="AF956" s="34">
        <v>2021</v>
      </c>
      <c r="AG956" s="34">
        <v>2021</v>
      </c>
      <c r="AH956" s="35">
        <v>2021</v>
      </c>
      <c r="AT956" s="20" t="e">
        <f t="shared" si="217"/>
        <v>#N/A</v>
      </c>
      <c r="BZ956" s="71"/>
      <c r="CD956" s="20" t="e">
        <f t="shared" si="215"/>
        <v>#N/A</v>
      </c>
    </row>
    <row r="957" spans="1:82" ht="61.5" x14ac:dyDescent="0.85">
      <c r="B957" s="24" t="s">
        <v>888</v>
      </c>
      <c r="C957" s="24"/>
      <c r="D957" s="31">
        <f>D958</f>
        <v>3498600</v>
      </c>
      <c r="E957" s="31">
        <f t="shared" ref="E957:AE957" si="223">E958</f>
        <v>0</v>
      </c>
      <c r="F957" s="31">
        <f t="shared" si="223"/>
        <v>0</v>
      </c>
      <c r="G957" s="31">
        <f t="shared" si="223"/>
        <v>0</v>
      </c>
      <c r="H957" s="31">
        <f t="shared" si="223"/>
        <v>0</v>
      </c>
      <c r="I957" s="31">
        <f t="shared" si="223"/>
        <v>0</v>
      </c>
      <c r="J957" s="31">
        <f t="shared" si="223"/>
        <v>0</v>
      </c>
      <c r="K957" s="33">
        <f t="shared" si="223"/>
        <v>0</v>
      </c>
      <c r="L957" s="31">
        <f t="shared" si="223"/>
        <v>0</v>
      </c>
      <c r="M957" s="31">
        <f t="shared" si="223"/>
        <v>686</v>
      </c>
      <c r="N957" s="31">
        <f t="shared" si="223"/>
        <v>3299113.3</v>
      </c>
      <c r="O957" s="31">
        <f t="shared" si="223"/>
        <v>0</v>
      </c>
      <c r="P957" s="31">
        <f t="shared" si="223"/>
        <v>0</v>
      </c>
      <c r="Q957" s="31">
        <f t="shared" si="223"/>
        <v>0</v>
      </c>
      <c r="R957" s="31">
        <f t="shared" si="223"/>
        <v>0</v>
      </c>
      <c r="S957" s="31">
        <f t="shared" si="223"/>
        <v>0</v>
      </c>
      <c r="T957" s="31">
        <f t="shared" si="223"/>
        <v>0</v>
      </c>
      <c r="U957" s="31">
        <f t="shared" si="223"/>
        <v>0</v>
      </c>
      <c r="V957" s="31">
        <f t="shared" si="223"/>
        <v>0</v>
      </c>
      <c r="W957" s="31">
        <f t="shared" si="223"/>
        <v>0</v>
      </c>
      <c r="X957" s="31">
        <f t="shared" si="223"/>
        <v>0</v>
      </c>
      <c r="Y957" s="31">
        <f t="shared" si="223"/>
        <v>0</v>
      </c>
      <c r="Z957" s="31">
        <f t="shared" si="223"/>
        <v>0</v>
      </c>
      <c r="AA957" s="31">
        <f t="shared" si="223"/>
        <v>0</v>
      </c>
      <c r="AB957" s="31">
        <f t="shared" si="223"/>
        <v>0</v>
      </c>
      <c r="AC957" s="31">
        <f t="shared" si="223"/>
        <v>49486.7</v>
      </c>
      <c r="AD957" s="31">
        <f t="shared" si="223"/>
        <v>150000</v>
      </c>
      <c r="AE957" s="31">
        <f t="shared" si="223"/>
        <v>0</v>
      </c>
      <c r="AF957" s="72" t="s">
        <v>776</v>
      </c>
      <c r="AG957" s="72" t="s">
        <v>776</v>
      </c>
      <c r="AH957" s="88" t="s">
        <v>776</v>
      </c>
      <c r="AT957" s="20" t="e">
        <f t="shared" si="217"/>
        <v>#N/A</v>
      </c>
      <c r="BZ957" s="71">
        <v>3498600</v>
      </c>
      <c r="CD957" s="20" t="e">
        <f t="shared" si="215"/>
        <v>#N/A</v>
      </c>
    </row>
    <row r="958" spans="1:82" ht="61.5" x14ac:dyDescent="0.85">
      <c r="A958" s="20">
        <v>1</v>
      </c>
      <c r="B958" s="66">
        <f>SUBTOTAL(103,$A$552:A958)</f>
        <v>351</v>
      </c>
      <c r="C958" s="24" t="s">
        <v>229</v>
      </c>
      <c r="D958" s="31">
        <f>E958+F958+G958+H958+I958+J958+L958+N958+P958+R958+T958+U958+V958+W958+X958+Y958+Z958+AA958+AB958+AC958+AD958+AE958</f>
        <v>3498600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3">
        <v>0</v>
      </c>
      <c r="L958" s="31">
        <v>0</v>
      </c>
      <c r="M958" s="31">
        <v>686</v>
      </c>
      <c r="N958" s="31">
        <v>3299113.3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1">
        <v>0</v>
      </c>
      <c r="Y958" s="31">
        <v>0</v>
      </c>
      <c r="Z958" s="31">
        <v>0</v>
      </c>
      <c r="AA958" s="31">
        <v>0</v>
      </c>
      <c r="AB958" s="31">
        <v>0</v>
      </c>
      <c r="AC958" s="31">
        <f>ROUND(N958*1.5%,2)</f>
        <v>49486.7</v>
      </c>
      <c r="AD958" s="31">
        <v>150000</v>
      </c>
      <c r="AE958" s="31">
        <v>0</v>
      </c>
      <c r="AF958" s="34">
        <v>2021</v>
      </c>
      <c r="AG958" s="34">
        <v>2021</v>
      </c>
      <c r="AH958" s="35">
        <v>2021</v>
      </c>
      <c r="AT958" s="20" t="e">
        <f t="shared" si="217"/>
        <v>#N/A</v>
      </c>
      <c r="BZ958" s="71"/>
      <c r="CD958" s="20" t="e">
        <f t="shared" si="215"/>
        <v>#N/A</v>
      </c>
    </row>
    <row r="959" spans="1:82" ht="61.5" x14ac:dyDescent="0.85">
      <c r="B959" s="24" t="s">
        <v>890</v>
      </c>
      <c r="C959" s="24"/>
      <c r="D959" s="31">
        <f>D960</f>
        <v>3230340</v>
      </c>
      <c r="E959" s="31">
        <f t="shared" ref="E959:AE959" si="224">E960</f>
        <v>0</v>
      </c>
      <c r="F959" s="31">
        <f t="shared" si="224"/>
        <v>0</v>
      </c>
      <c r="G959" s="31">
        <f t="shared" si="224"/>
        <v>0</v>
      </c>
      <c r="H959" s="31">
        <f t="shared" si="224"/>
        <v>0</v>
      </c>
      <c r="I959" s="31">
        <f t="shared" si="224"/>
        <v>0</v>
      </c>
      <c r="J959" s="31">
        <f t="shared" si="224"/>
        <v>0</v>
      </c>
      <c r="K959" s="33">
        <f t="shared" si="224"/>
        <v>0</v>
      </c>
      <c r="L959" s="31">
        <f t="shared" si="224"/>
        <v>0</v>
      </c>
      <c r="M959" s="31">
        <f t="shared" si="224"/>
        <v>633.4</v>
      </c>
      <c r="N959" s="31">
        <f t="shared" si="224"/>
        <v>3034817.73</v>
      </c>
      <c r="O959" s="31">
        <f t="shared" si="224"/>
        <v>0</v>
      </c>
      <c r="P959" s="31">
        <f t="shared" si="224"/>
        <v>0</v>
      </c>
      <c r="Q959" s="31">
        <f t="shared" si="224"/>
        <v>0</v>
      </c>
      <c r="R959" s="31">
        <f t="shared" si="224"/>
        <v>0</v>
      </c>
      <c r="S959" s="31">
        <f t="shared" si="224"/>
        <v>0</v>
      </c>
      <c r="T959" s="31">
        <f t="shared" si="224"/>
        <v>0</v>
      </c>
      <c r="U959" s="31">
        <f t="shared" si="224"/>
        <v>0</v>
      </c>
      <c r="V959" s="31">
        <f t="shared" si="224"/>
        <v>0</v>
      </c>
      <c r="W959" s="31">
        <f t="shared" si="224"/>
        <v>0</v>
      </c>
      <c r="X959" s="31">
        <f t="shared" si="224"/>
        <v>0</v>
      </c>
      <c r="Y959" s="31">
        <f t="shared" si="224"/>
        <v>0</v>
      </c>
      <c r="Z959" s="31">
        <f t="shared" si="224"/>
        <v>0</v>
      </c>
      <c r="AA959" s="31">
        <f t="shared" si="224"/>
        <v>0</v>
      </c>
      <c r="AB959" s="31">
        <f t="shared" si="224"/>
        <v>0</v>
      </c>
      <c r="AC959" s="31">
        <f t="shared" si="224"/>
        <v>45522.27</v>
      </c>
      <c r="AD959" s="31">
        <f t="shared" si="224"/>
        <v>150000</v>
      </c>
      <c r="AE959" s="31">
        <f t="shared" si="224"/>
        <v>0</v>
      </c>
      <c r="AF959" s="72" t="s">
        <v>776</v>
      </c>
      <c r="AG959" s="72" t="s">
        <v>776</v>
      </c>
      <c r="AH959" s="88" t="s">
        <v>776</v>
      </c>
      <c r="AT959" s="20" t="e">
        <f t="shared" si="217"/>
        <v>#N/A</v>
      </c>
      <c r="BZ959" s="71">
        <v>3230340</v>
      </c>
      <c r="CD959" s="20" t="e">
        <f t="shared" si="215"/>
        <v>#N/A</v>
      </c>
    </row>
    <row r="960" spans="1:82" ht="61.5" x14ac:dyDescent="0.85">
      <c r="A960" s="20">
        <v>1</v>
      </c>
      <c r="B960" s="66">
        <f>SUBTOTAL(103,$A$552:A960)</f>
        <v>352</v>
      </c>
      <c r="C960" s="24" t="s">
        <v>223</v>
      </c>
      <c r="D960" s="31">
        <f>E960+F960+G960+H960+I960+J960+L960+N960+P960+R960+T960+U960+V960+W960+X960+Y960+Z960+AA960+AB960+AC960+AD960+AE960</f>
        <v>3230340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3">
        <v>0</v>
      </c>
      <c r="L960" s="31">
        <v>0</v>
      </c>
      <c r="M960" s="31">
        <v>633.4</v>
      </c>
      <c r="N960" s="31">
        <v>3034817.73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1">
        <v>0</v>
      </c>
      <c r="X960" s="31">
        <v>0</v>
      </c>
      <c r="Y960" s="31">
        <v>0</v>
      </c>
      <c r="Z960" s="31">
        <v>0</v>
      </c>
      <c r="AA960" s="31">
        <v>0</v>
      </c>
      <c r="AB960" s="31">
        <v>0</v>
      </c>
      <c r="AC960" s="31">
        <f>ROUND(N960*1.5%,2)</f>
        <v>45522.27</v>
      </c>
      <c r="AD960" s="31">
        <v>150000</v>
      </c>
      <c r="AE960" s="31">
        <v>0</v>
      </c>
      <c r="AF960" s="34">
        <v>2021</v>
      </c>
      <c r="AG960" s="34">
        <v>2021</v>
      </c>
      <c r="AH960" s="35">
        <v>2021</v>
      </c>
      <c r="AT960" s="20" t="e">
        <f t="shared" si="217"/>
        <v>#N/A</v>
      </c>
      <c r="BZ960" s="71"/>
      <c r="CD960" s="20" t="e">
        <f t="shared" si="215"/>
        <v>#N/A</v>
      </c>
    </row>
    <row r="961" spans="1:78" ht="61.5" x14ac:dyDescent="0.85">
      <c r="B961" s="24" t="s">
        <v>780</v>
      </c>
      <c r="C961" s="126"/>
      <c r="D961" s="31">
        <f t="shared" ref="D961:AE961" si="225">D962+D1021+D1036+D1063+D1075+D1078+D1087+D1091+D1094+D1097+D1099+D1101+D1104+D1106+D1108+D1116+D1119+D1121+D1123+D1125+D1128+D1131+D1133+D1135+D1137+D1144+D1147+D1151+D1154+D1156+D1160+D1162+D1164+D1166+D1168+D1170+D1172+D1176+D1178+D1180+D1182+D1186+D1188+D1190+D1192+D1195+D1198+D1202+D1207+D1210+D1212+D1214+D1217+D1221+D1223+D1225+D1227+D1231</f>
        <v>787616479.89000022</v>
      </c>
      <c r="E961" s="31">
        <f t="shared" si="225"/>
        <v>1015422.23</v>
      </c>
      <c r="F961" s="31">
        <f t="shared" si="225"/>
        <v>2254171.34</v>
      </c>
      <c r="G961" s="31">
        <f t="shared" si="225"/>
        <v>7536629.54</v>
      </c>
      <c r="H961" s="31">
        <f t="shared" si="225"/>
        <v>2087824.54</v>
      </c>
      <c r="I961" s="31">
        <f t="shared" si="225"/>
        <v>6237173.6699999999</v>
      </c>
      <c r="J961" s="31">
        <f t="shared" si="225"/>
        <v>0</v>
      </c>
      <c r="K961" s="33">
        <f t="shared" si="225"/>
        <v>16</v>
      </c>
      <c r="L961" s="31">
        <f t="shared" si="225"/>
        <v>34130593.200000003</v>
      </c>
      <c r="M961" s="31">
        <f t="shared" si="225"/>
        <v>135053.86569241001</v>
      </c>
      <c r="N961" s="31">
        <f t="shared" si="225"/>
        <v>628694717.77999973</v>
      </c>
      <c r="O961" s="31">
        <f t="shared" si="225"/>
        <v>146</v>
      </c>
      <c r="P961" s="31">
        <f t="shared" si="225"/>
        <v>365939.61</v>
      </c>
      <c r="Q961" s="31">
        <f t="shared" si="225"/>
        <v>18035.460000000003</v>
      </c>
      <c r="R961" s="31">
        <f t="shared" si="225"/>
        <v>55406237.599999994</v>
      </c>
      <c r="S961" s="31">
        <f t="shared" si="225"/>
        <v>425.77</v>
      </c>
      <c r="T961" s="31">
        <f t="shared" si="225"/>
        <v>13315659.040000001</v>
      </c>
      <c r="U961" s="31">
        <f t="shared" si="225"/>
        <v>7702861.6199999992</v>
      </c>
      <c r="V961" s="31">
        <f t="shared" si="225"/>
        <v>0</v>
      </c>
      <c r="W961" s="31">
        <f t="shared" si="225"/>
        <v>0</v>
      </c>
      <c r="X961" s="31">
        <f t="shared" si="225"/>
        <v>0</v>
      </c>
      <c r="Y961" s="31">
        <f t="shared" si="225"/>
        <v>0</v>
      </c>
      <c r="Z961" s="31">
        <f t="shared" si="225"/>
        <v>0</v>
      </c>
      <c r="AA961" s="31">
        <f t="shared" si="225"/>
        <v>0</v>
      </c>
      <c r="AB961" s="31">
        <f t="shared" si="225"/>
        <v>0</v>
      </c>
      <c r="AC961" s="31">
        <f t="shared" si="225"/>
        <v>10869249.719999999</v>
      </c>
      <c r="AD961" s="31">
        <f t="shared" si="225"/>
        <v>17640000</v>
      </c>
      <c r="AE961" s="31">
        <f t="shared" si="225"/>
        <v>360000</v>
      </c>
      <c r="AF961" s="72" t="s">
        <v>776</v>
      </c>
      <c r="AG961" s="72" t="s">
        <v>776</v>
      </c>
      <c r="AH961" s="88" t="s">
        <v>776</v>
      </c>
      <c r="AT961" s="20" t="e">
        <f t="shared" si="217"/>
        <v>#N/A</v>
      </c>
      <c r="BZ961" s="71">
        <v>791169161.6500001</v>
      </c>
    </row>
    <row r="962" spans="1:78" ht="61.5" x14ac:dyDescent="0.85">
      <c r="B962" s="24" t="s">
        <v>1117</v>
      </c>
      <c r="C962" s="129"/>
      <c r="D962" s="31">
        <f t="shared" ref="D962:AE962" si="226">SUM(D963:D1020)</f>
        <v>218247138.05000004</v>
      </c>
      <c r="E962" s="31">
        <f t="shared" si="226"/>
        <v>0</v>
      </c>
      <c r="F962" s="31">
        <f t="shared" si="226"/>
        <v>0</v>
      </c>
      <c r="G962" s="31">
        <f t="shared" si="226"/>
        <v>0</v>
      </c>
      <c r="H962" s="31">
        <f t="shared" si="226"/>
        <v>0</v>
      </c>
      <c r="I962" s="31">
        <f t="shared" si="226"/>
        <v>0</v>
      </c>
      <c r="J962" s="31">
        <f t="shared" si="226"/>
        <v>0</v>
      </c>
      <c r="K962" s="33">
        <f t="shared" si="226"/>
        <v>5</v>
      </c>
      <c r="L962" s="31">
        <f t="shared" si="226"/>
        <v>10649559.609999999</v>
      </c>
      <c r="M962" s="31">
        <f t="shared" si="226"/>
        <v>43534.090000000004</v>
      </c>
      <c r="N962" s="31">
        <f t="shared" si="226"/>
        <v>192733302.37</v>
      </c>
      <c r="O962" s="31">
        <f t="shared" si="226"/>
        <v>0</v>
      </c>
      <c r="P962" s="31">
        <f t="shared" si="226"/>
        <v>0</v>
      </c>
      <c r="Q962" s="31">
        <f t="shared" si="226"/>
        <v>3361</v>
      </c>
      <c r="R962" s="31">
        <f t="shared" si="226"/>
        <v>11796331.390000001</v>
      </c>
      <c r="S962" s="31">
        <f t="shared" si="226"/>
        <v>0</v>
      </c>
      <c r="T962" s="31">
        <f t="shared" si="226"/>
        <v>0</v>
      </c>
      <c r="U962" s="31">
        <f t="shared" si="226"/>
        <v>0</v>
      </c>
      <c r="V962" s="31">
        <f t="shared" si="226"/>
        <v>0</v>
      </c>
      <c r="W962" s="31">
        <f t="shared" si="226"/>
        <v>0</v>
      </c>
      <c r="X962" s="31">
        <f t="shared" si="226"/>
        <v>0</v>
      </c>
      <c r="Y962" s="31">
        <f t="shared" si="226"/>
        <v>0</v>
      </c>
      <c r="Z962" s="31">
        <f t="shared" si="226"/>
        <v>0</v>
      </c>
      <c r="AA962" s="31">
        <f t="shared" si="226"/>
        <v>0</v>
      </c>
      <c r="AB962" s="31">
        <f t="shared" si="226"/>
        <v>0</v>
      </c>
      <c r="AC962" s="31">
        <f t="shared" si="226"/>
        <v>3067944.6799999992</v>
      </c>
      <c r="AD962" s="31">
        <f t="shared" si="226"/>
        <v>0</v>
      </c>
      <c r="AE962" s="31">
        <f t="shared" si="226"/>
        <v>0</v>
      </c>
      <c r="AF962" s="72" t="s">
        <v>776</v>
      </c>
      <c r="AG962" s="72" t="s">
        <v>776</v>
      </c>
      <c r="AH962" s="88" t="s">
        <v>776</v>
      </c>
      <c r="AT962" s="20" t="e">
        <f t="shared" si="217"/>
        <v>#N/A</v>
      </c>
      <c r="BZ962" s="71">
        <v>216853215.33000001</v>
      </c>
    </row>
    <row r="963" spans="1:78" ht="61.5" x14ac:dyDescent="0.85">
      <c r="A963" s="20">
        <v>1</v>
      </c>
      <c r="B963" s="66">
        <f>SUBTOTAL(103,$A$963:A963)</f>
        <v>1</v>
      </c>
      <c r="C963" s="24" t="s">
        <v>580</v>
      </c>
      <c r="D963" s="31">
        <f t="shared" ref="D963:D1020" si="227">E963+F963+G963+H963+I963+J963+L963+N963+P963+R963+T963+U963+V963+W963+X963+Y963+Z963+AA963+AB963+AC963+AD963+AE963</f>
        <v>3147713.25</v>
      </c>
      <c r="E963" s="31">
        <v>0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3">
        <v>0</v>
      </c>
      <c r="L963" s="31">
        <v>0</v>
      </c>
      <c r="M963" s="31">
        <v>736</v>
      </c>
      <c r="N963" s="31">
        <v>3101195.32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1">
        <v>0</v>
      </c>
      <c r="X963" s="31">
        <v>0</v>
      </c>
      <c r="Y963" s="31">
        <v>0</v>
      </c>
      <c r="Z963" s="31">
        <v>0</v>
      </c>
      <c r="AA963" s="31">
        <v>0</v>
      </c>
      <c r="AB963" s="31">
        <v>0</v>
      </c>
      <c r="AC963" s="31">
        <v>46517.93</v>
      </c>
      <c r="AD963" s="31">
        <v>0</v>
      </c>
      <c r="AE963" s="31">
        <v>0</v>
      </c>
      <c r="AF963" s="34" t="s">
        <v>274</v>
      </c>
      <c r="AG963" s="34">
        <v>2022</v>
      </c>
      <c r="AH963" s="35">
        <v>2022</v>
      </c>
      <c r="AT963" s="20" t="e">
        <f t="shared" si="217"/>
        <v>#N/A</v>
      </c>
      <c r="BZ963" s="71"/>
    </row>
    <row r="964" spans="1:78" ht="61.5" x14ac:dyDescent="0.85">
      <c r="A964" s="20">
        <v>1</v>
      </c>
      <c r="B964" s="66">
        <f>SUBTOTAL(103,$A$963:A964)</f>
        <v>2</v>
      </c>
      <c r="C964" s="24" t="s">
        <v>581</v>
      </c>
      <c r="D964" s="31">
        <f t="shared" si="227"/>
        <v>1023224.5700000001</v>
      </c>
      <c r="E964" s="31">
        <v>0</v>
      </c>
      <c r="F964" s="31">
        <v>0</v>
      </c>
      <c r="G964" s="31">
        <v>0</v>
      </c>
      <c r="H964" s="31">
        <v>0</v>
      </c>
      <c r="I964" s="31">
        <v>0</v>
      </c>
      <c r="J964" s="31">
        <v>0</v>
      </c>
      <c r="K964" s="33">
        <v>0</v>
      </c>
      <c r="L964" s="31">
        <v>0</v>
      </c>
      <c r="M964" s="31">
        <v>230</v>
      </c>
      <c r="N964" s="31">
        <v>1008103.02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31">
        <v>0</v>
      </c>
      <c r="W964" s="31">
        <v>0</v>
      </c>
      <c r="X964" s="31">
        <v>0</v>
      </c>
      <c r="Y964" s="31">
        <v>0</v>
      </c>
      <c r="Z964" s="31">
        <v>0</v>
      </c>
      <c r="AA964" s="31">
        <v>0</v>
      </c>
      <c r="AB964" s="31">
        <v>0</v>
      </c>
      <c r="AC964" s="31">
        <v>15121.55</v>
      </c>
      <c r="AD964" s="31">
        <v>0</v>
      </c>
      <c r="AE964" s="31">
        <v>0</v>
      </c>
      <c r="AF964" s="34" t="s">
        <v>274</v>
      </c>
      <c r="AG964" s="34">
        <v>2022</v>
      </c>
      <c r="AH964" s="35">
        <v>2022</v>
      </c>
      <c r="AT964" s="20" t="e">
        <f t="shared" si="217"/>
        <v>#N/A</v>
      </c>
      <c r="BZ964" s="71"/>
    </row>
    <row r="965" spans="1:78" ht="61.5" x14ac:dyDescent="0.85">
      <c r="A965" s="20">
        <v>1</v>
      </c>
      <c r="B965" s="66">
        <f>SUBTOTAL(103,$A$963:A965)</f>
        <v>3</v>
      </c>
      <c r="C965" s="24" t="s">
        <v>1094</v>
      </c>
      <c r="D965" s="31">
        <f t="shared" si="227"/>
        <v>2100000</v>
      </c>
      <c r="E965" s="31">
        <v>0</v>
      </c>
      <c r="F965" s="31">
        <v>0</v>
      </c>
      <c r="G965" s="31">
        <v>0</v>
      </c>
      <c r="H965" s="31">
        <v>0</v>
      </c>
      <c r="I965" s="31">
        <v>0</v>
      </c>
      <c r="J965" s="31">
        <v>0</v>
      </c>
      <c r="K965" s="33">
        <v>0</v>
      </c>
      <c r="L965" s="31">
        <v>0</v>
      </c>
      <c r="M965" s="31">
        <v>412</v>
      </c>
      <c r="N965" s="31">
        <v>2068965.52</v>
      </c>
      <c r="O965" s="31">
        <v>0</v>
      </c>
      <c r="P965" s="31">
        <v>0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1">
        <v>0</v>
      </c>
      <c r="Y965" s="31">
        <v>0</v>
      </c>
      <c r="Z965" s="31">
        <v>0</v>
      </c>
      <c r="AA965" s="31">
        <v>0</v>
      </c>
      <c r="AB965" s="31">
        <v>0</v>
      </c>
      <c r="AC965" s="31">
        <v>31034.48</v>
      </c>
      <c r="AD965" s="31">
        <v>0</v>
      </c>
      <c r="AE965" s="31">
        <v>0</v>
      </c>
      <c r="AF965" s="34" t="s">
        <v>274</v>
      </c>
      <c r="AG965" s="34">
        <v>2022</v>
      </c>
      <c r="AH965" s="35">
        <v>2022</v>
      </c>
      <c r="AT965" s="20" t="e">
        <f t="shared" si="217"/>
        <v>#N/A</v>
      </c>
      <c r="BZ965" s="71"/>
    </row>
    <row r="966" spans="1:78" ht="61.5" x14ac:dyDescent="0.85">
      <c r="A966" s="20">
        <v>1</v>
      </c>
      <c r="B966" s="66">
        <f>SUBTOTAL(103,$A$963:A966)</f>
        <v>4</v>
      </c>
      <c r="C966" s="24" t="s">
        <v>582</v>
      </c>
      <c r="D966" s="31">
        <f t="shared" si="227"/>
        <v>3183875.94</v>
      </c>
      <c r="E966" s="31">
        <v>0</v>
      </c>
      <c r="F966" s="31">
        <v>0</v>
      </c>
      <c r="G966" s="31">
        <v>0</v>
      </c>
      <c r="H966" s="31">
        <v>0</v>
      </c>
      <c r="I966" s="31">
        <v>0</v>
      </c>
      <c r="J966" s="31">
        <v>0</v>
      </c>
      <c r="K966" s="33">
        <v>0</v>
      </c>
      <c r="L966" s="31">
        <v>0</v>
      </c>
      <c r="M966" s="31">
        <v>722</v>
      </c>
      <c r="N966" s="31">
        <v>3136823.59</v>
      </c>
      <c r="O966" s="31">
        <v>0</v>
      </c>
      <c r="P966" s="31">
        <v>0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1">
        <v>0</v>
      </c>
      <c r="X966" s="31">
        <v>0</v>
      </c>
      <c r="Y966" s="31">
        <v>0</v>
      </c>
      <c r="Z966" s="31">
        <v>0</v>
      </c>
      <c r="AA966" s="31">
        <v>0</v>
      </c>
      <c r="AB966" s="31">
        <v>0</v>
      </c>
      <c r="AC966" s="31">
        <v>47052.35</v>
      </c>
      <c r="AD966" s="31">
        <v>0</v>
      </c>
      <c r="AE966" s="31">
        <v>0</v>
      </c>
      <c r="AF966" s="34" t="s">
        <v>274</v>
      </c>
      <c r="AG966" s="34">
        <v>2022</v>
      </c>
      <c r="AH966" s="35">
        <v>2022</v>
      </c>
      <c r="AT966" s="20" t="e">
        <f t="shared" si="217"/>
        <v>#N/A</v>
      </c>
      <c r="BZ966" s="71"/>
    </row>
    <row r="967" spans="1:78" ht="61.5" x14ac:dyDescent="0.85">
      <c r="A967" s="20">
        <v>1</v>
      </c>
      <c r="B967" s="66">
        <f>SUBTOTAL(103,$A$963:A967)</f>
        <v>5</v>
      </c>
      <c r="C967" s="24" t="s">
        <v>584</v>
      </c>
      <c r="D967" s="31">
        <f t="shared" si="227"/>
        <v>5391207.6599999992</v>
      </c>
      <c r="E967" s="31">
        <v>0</v>
      </c>
      <c r="F967" s="31">
        <v>0</v>
      </c>
      <c r="G967" s="31">
        <v>0</v>
      </c>
      <c r="H967" s="31">
        <v>0</v>
      </c>
      <c r="I967" s="31">
        <v>0</v>
      </c>
      <c r="J967" s="31">
        <v>0</v>
      </c>
      <c r="K967" s="33">
        <v>0</v>
      </c>
      <c r="L967" s="31">
        <v>0</v>
      </c>
      <c r="M967" s="31">
        <v>1200</v>
      </c>
      <c r="N967" s="31">
        <v>5311534.6399999997</v>
      </c>
      <c r="O967" s="31">
        <v>0</v>
      </c>
      <c r="P967" s="31">
        <v>0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31">
        <v>0</v>
      </c>
      <c r="W967" s="31">
        <v>0</v>
      </c>
      <c r="X967" s="31">
        <v>0</v>
      </c>
      <c r="Y967" s="31">
        <v>0</v>
      </c>
      <c r="Z967" s="31">
        <v>0</v>
      </c>
      <c r="AA967" s="31">
        <v>0</v>
      </c>
      <c r="AB967" s="31">
        <v>0</v>
      </c>
      <c r="AC967" s="31">
        <v>79673.02</v>
      </c>
      <c r="AD967" s="31">
        <v>0</v>
      </c>
      <c r="AE967" s="31">
        <v>0</v>
      </c>
      <c r="AF967" s="34" t="s">
        <v>274</v>
      </c>
      <c r="AG967" s="34">
        <v>2022</v>
      </c>
      <c r="AH967" s="35">
        <v>2022</v>
      </c>
      <c r="AT967" s="20" t="e">
        <f t="shared" si="217"/>
        <v>#N/A</v>
      </c>
      <c r="BZ967" s="71"/>
    </row>
    <row r="968" spans="1:78" ht="61.5" x14ac:dyDescent="0.85">
      <c r="A968" s="20">
        <v>1</v>
      </c>
      <c r="B968" s="66">
        <f>SUBTOTAL(103,$A$963:A968)</f>
        <v>6</v>
      </c>
      <c r="C968" s="24" t="s">
        <v>585</v>
      </c>
      <c r="D968" s="31">
        <f t="shared" si="227"/>
        <v>1896320.0799999998</v>
      </c>
      <c r="E968" s="31">
        <v>0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3">
        <v>0</v>
      </c>
      <c r="L968" s="31">
        <v>0</v>
      </c>
      <c r="M968" s="31">
        <v>420</v>
      </c>
      <c r="N968" s="31">
        <v>1868295.65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0</v>
      </c>
      <c r="U968" s="31">
        <v>0</v>
      </c>
      <c r="V968" s="31">
        <v>0</v>
      </c>
      <c r="W968" s="31">
        <v>0</v>
      </c>
      <c r="X968" s="31">
        <v>0</v>
      </c>
      <c r="Y968" s="31">
        <v>0</v>
      </c>
      <c r="Z968" s="31">
        <v>0</v>
      </c>
      <c r="AA968" s="31">
        <v>0</v>
      </c>
      <c r="AB968" s="31">
        <v>0</v>
      </c>
      <c r="AC968" s="31">
        <v>28024.43</v>
      </c>
      <c r="AD968" s="31">
        <v>0</v>
      </c>
      <c r="AE968" s="31">
        <v>0</v>
      </c>
      <c r="AF968" s="34" t="s">
        <v>274</v>
      </c>
      <c r="AG968" s="34">
        <v>2022</v>
      </c>
      <c r="AH968" s="35">
        <v>2022</v>
      </c>
      <c r="AT968" s="20" t="e">
        <f t="shared" si="217"/>
        <v>#N/A</v>
      </c>
      <c r="BZ968" s="71"/>
    </row>
    <row r="969" spans="1:78" ht="61.5" x14ac:dyDescent="0.85">
      <c r="A969" s="20">
        <v>1</v>
      </c>
      <c r="B969" s="66">
        <f>SUBTOTAL(103,$A$963:A969)</f>
        <v>7</v>
      </c>
      <c r="C969" s="24" t="s">
        <v>586</v>
      </c>
      <c r="D969" s="31">
        <f t="shared" si="227"/>
        <v>2718609.5</v>
      </c>
      <c r="E969" s="31">
        <v>0</v>
      </c>
      <c r="F969" s="31">
        <v>0</v>
      </c>
      <c r="G969" s="31">
        <v>0</v>
      </c>
      <c r="H969" s="31">
        <v>0</v>
      </c>
      <c r="I969" s="31">
        <v>0</v>
      </c>
      <c r="J969" s="31">
        <v>0</v>
      </c>
      <c r="K969" s="33">
        <v>0</v>
      </c>
      <c r="L969" s="31">
        <v>0</v>
      </c>
      <c r="M969" s="31">
        <v>593</v>
      </c>
      <c r="N969" s="31">
        <v>2678433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31">
        <v>0</v>
      </c>
      <c r="W969" s="31">
        <v>0</v>
      </c>
      <c r="X969" s="31">
        <v>0</v>
      </c>
      <c r="Y969" s="31">
        <v>0</v>
      </c>
      <c r="Z969" s="31">
        <v>0</v>
      </c>
      <c r="AA969" s="31">
        <v>0</v>
      </c>
      <c r="AB969" s="31">
        <v>0</v>
      </c>
      <c r="AC969" s="31">
        <v>40176.5</v>
      </c>
      <c r="AD969" s="31">
        <v>0</v>
      </c>
      <c r="AE969" s="31">
        <v>0</v>
      </c>
      <c r="AF969" s="34" t="s">
        <v>274</v>
      </c>
      <c r="AG969" s="34">
        <v>2022</v>
      </c>
      <c r="AH969" s="35">
        <v>2022</v>
      </c>
      <c r="AT969" s="20" t="e">
        <f t="shared" si="217"/>
        <v>#N/A</v>
      </c>
      <c r="BZ969" s="71"/>
    </row>
    <row r="970" spans="1:78" ht="61.5" x14ac:dyDescent="0.85">
      <c r="A970" s="20">
        <v>1</v>
      </c>
      <c r="B970" s="66">
        <f>SUBTOTAL(103,$A$963:A970)</f>
        <v>8</v>
      </c>
      <c r="C970" s="24" t="s">
        <v>1676</v>
      </c>
      <c r="D970" s="31">
        <f t="shared" si="227"/>
        <v>2863861.07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3">
        <v>0</v>
      </c>
      <c r="L970" s="31">
        <v>0</v>
      </c>
      <c r="M970" s="31">
        <v>559</v>
      </c>
      <c r="N970" s="31">
        <v>2821538</v>
      </c>
      <c r="O970" s="31">
        <v>0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1">
        <v>0</v>
      </c>
      <c r="Y970" s="31">
        <v>0</v>
      </c>
      <c r="Z970" s="31">
        <v>0</v>
      </c>
      <c r="AA970" s="31">
        <v>0</v>
      </c>
      <c r="AB970" s="31">
        <v>0</v>
      </c>
      <c r="AC970" s="31">
        <v>42323.07</v>
      </c>
      <c r="AD970" s="31">
        <v>0</v>
      </c>
      <c r="AE970" s="31">
        <v>0</v>
      </c>
      <c r="AF970" s="34" t="s">
        <v>274</v>
      </c>
      <c r="AG970" s="34">
        <v>2022</v>
      </c>
      <c r="AH970" s="35">
        <v>2022</v>
      </c>
      <c r="BZ970" s="71"/>
    </row>
    <row r="971" spans="1:78" ht="61.5" x14ac:dyDescent="0.85">
      <c r="A971" s="20">
        <v>1</v>
      </c>
      <c r="B971" s="66">
        <f>SUBTOTAL(103,$A$963:A971)</f>
        <v>9</v>
      </c>
      <c r="C971" s="24" t="s">
        <v>587</v>
      </c>
      <c r="D971" s="31">
        <f t="shared" si="227"/>
        <v>3653990.26</v>
      </c>
      <c r="E971" s="31">
        <v>0</v>
      </c>
      <c r="F971" s="31">
        <v>0</v>
      </c>
      <c r="G971" s="31">
        <v>0</v>
      </c>
      <c r="H971" s="31">
        <v>0</v>
      </c>
      <c r="I971" s="31">
        <v>0</v>
      </c>
      <c r="J971" s="31">
        <v>0</v>
      </c>
      <c r="K971" s="33">
        <v>0</v>
      </c>
      <c r="L971" s="31">
        <v>0</v>
      </c>
      <c r="M971" s="31">
        <v>794</v>
      </c>
      <c r="N971" s="31">
        <v>3599990.4</v>
      </c>
      <c r="O971" s="31">
        <v>0</v>
      </c>
      <c r="P971" s="31">
        <v>0</v>
      </c>
      <c r="Q971" s="31">
        <v>0</v>
      </c>
      <c r="R971" s="31">
        <v>0</v>
      </c>
      <c r="S971" s="31">
        <v>0</v>
      </c>
      <c r="T971" s="31">
        <v>0</v>
      </c>
      <c r="U971" s="31">
        <v>0</v>
      </c>
      <c r="V971" s="31">
        <v>0</v>
      </c>
      <c r="W971" s="31">
        <v>0</v>
      </c>
      <c r="X971" s="31">
        <v>0</v>
      </c>
      <c r="Y971" s="31">
        <v>0</v>
      </c>
      <c r="Z971" s="31">
        <v>0</v>
      </c>
      <c r="AA971" s="31">
        <v>0</v>
      </c>
      <c r="AB971" s="31">
        <v>0</v>
      </c>
      <c r="AC971" s="31">
        <v>53999.86</v>
      </c>
      <c r="AD971" s="31">
        <v>0</v>
      </c>
      <c r="AE971" s="31">
        <v>0</v>
      </c>
      <c r="AF971" s="34" t="s">
        <v>274</v>
      </c>
      <c r="AG971" s="34">
        <v>2022</v>
      </c>
      <c r="AH971" s="35">
        <v>2022</v>
      </c>
      <c r="AT971" s="20" t="e">
        <f>VLOOKUP(C971,AW:AX,2,FALSE)</f>
        <v>#N/A</v>
      </c>
      <c r="BZ971" s="71"/>
    </row>
    <row r="972" spans="1:78" ht="61.5" x14ac:dyDescent="0.85">
      <c r="A972" s="20">
        <v>1</v>
      </c>
      <c r="B972" s="66">
        <f>SUBTOTAL(103,$A$963:A972)</f>
        <v>10</v>
      </c>
      <c r="C972" s="24" t="s">
        <v>1677</v>
      </c>
      <c r="D972" s="31">
        <f t="shared" si="227"/>
        <v>5582500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3">
        <v>0</v>
      </c>
      <c r="L972" s="31">
        <v>0</v>
      </c>
      <c r="M972" s="31">
        <v>1338</v>
      </c>
      <c r="N972" s="31">
        <v>5500000</v>
      </c>
      <c r="O972" s="31">
        <v>0</v>
      </c>
      <c r="P972" s="31">
        <v>0</v>
      </c>
      <c r="Q972" s="31">
        <v>0</v>
      </c>
      <c r="R972" s="31">
        <v>0</v>
      </c>
      <c r="S972" s="31">
        <v>0</v>
      </c>
      <c r="T972" s="31">
        <v>0</v>
      </c>
      <c r="U972" s="31">
        <v>0</v>
      </c>
      <c r="V972" s="31">
        <v>0</v>
      </c>
      <c r="W972" s="31">
        <v>0</v>
      </c>
      <c r="X972" s="31">
        <v>0</v>
      </c>
      <c r="Y972" s="31">
        <v>0</v>
      </c>
      <c r="Z972" s="31">
        <v>0</v>
      </c>
      <c r="AA972" s="31">
        <v>0</v>
      </c>
      <c r="AB972" s="31">
        <v>0</v>
      </c>
      <c r="AC972" s="31">
        <v>82500</v>
      </c>
      <c r="AD972" s="31">
        <v>0</v>
      </c>
      <c r="AE972" s="31">
        <v>0</v>
      </c>
      <c r="AF972" s="34" t="s">
        <v>274</v>
      </c>
      <c r="AG972" s="34">
        <v>2022</v>
      </c>
      <c r="AH972" s="35">
        <v>2022</v>
      </c>
      <c r="BZ972" s="71"/>
    </row>
    <row r="973" spans="1:78" ht="61.5" x14ac:dyDescent="0.85">
      <c r="A973" s="20">
        <v>1</v>
      </c>
      <c r="B973" s="66">
        <f>SUBTOTAL(103,$A$963:A973)</f>
        <v>11</v>
      </c>
      <c r="C973" s="24" t="s">
        <v>588</v>
      </c>
      <c r="D973" s="31">
        <f t="shared" si="227"/>
        <v>3493332.35</v>
      </c>
      <c r="E973" s="31">
        <v>0</v>
      </c>
      <c r="F973" s="31">
        <v>0</v>
      </c>
      <c r="G973" s="31">
        <v>0</v>
      </c>
      <c r="H973" s="31">
        <v>0</v>
      </c>
      <c r="I973" s="31">
        <v>0</v>
      </c>
      <c r="J973" s="31">
        <v>0</v>
      </c>
      <c r="K973" s="33">
        <v>0</v>
      </c>
      <c r="L973" s="31">
        <v>0</v>
      </c>
      <c r="M973" s="31">
        <v>760.2</v>
      </c>
      <c r="N973" s="31">
        <v>3441706.75</v>
      </c>
      <c r="O973" s="31">
        <v>0</v>
      </c>
      <c r="P973" s="31">
        <v>0</v>
      </c>
      <c r="Q973" s="31">
        <v>0</v>
      </c>
      <c r="R973" s="31">
        <v>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1">
        <v>0</v>
      </c>
      <c r="Y973" s="31">
        <v>0</v>
      </c>
      <c r="Z973" s="31">
        <v>0</v>
      </c>
      <c r="AA973" s="31">
        <v>0</v>
      </c>
      <c r="AB973" s="31">
        <v>0</v>
      </c>
      <c r="AC973" s="31">
        <v>51625.599999999999</v>
      </c>
      <c r="AD973" s="31">
        <v>0</v>
      </c>
      <c r="AE973" s="31">
        <v>0</v>
      </c>
      <c r="AF973" s="34" t="s">
        <v>274</v>
      </c>
      <c r="AG973" s="34">
        <v>2022</v>
      </c>
      <c r="AH973" s="35">
        <v>2022</v>
      </c>
      <c r="AT973" s="20" t="e">
        <f>VLOOKUP(C973,AW:AX,2,FALSE)</f>
        <v>#N/A</v>
      </c>
      <c r="BZ973" s="71"/>
    </row>
    <row r="974" spans="1:78" ht="61.5" x14ac:dyDescent="0.85">
      <c r="A974" s="20">
        <v>1</v>
      </c>
      <c r="B974" s="66">
        <f>SUBTOTAL(103,$A$963:A974)</f>
        <v>12</v>
      </c>
      <c r="C974" s="24" t="s">
        <v>589</v>
      </c>
      <c r="D974" s="31">
        <f t="shared" si="227"/>
        <v>5751539.1200000001</v>
      </c>
      <c r="E974" s="31">
        <v>0</v>
      </c>
      <c r="F974" s="31">
        <v>0</v>
      </c>
      <c r="G974" s="31">
        <v>0</v>
      </c>
      <c r="H974" s="31">
        <v>0</v>
      </c>
      <c r="I974" s="31">
        <v>0</v>
      </c>
      <c r="J974" s="31">
        <v>0</v>
      </c>
      <c r="K974" s="33">
        <v>0</v>
      </c>
      <c r="L974" s="31">
        <v>0</v>
      </c>
      <c r="M974" s="31">
        <v>1260.4000000000001</v>
      </c>
      <c r="N974" s="31">
        <v>5666541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31">
        <v>0</v>
      </c>
      <c r="W974" s="31">
        <v>0</v>
      </c>
      <c r="X974" s="31">
        <v>0</v>
      </c>
      <c r="Y974" s="31">
        <v>0</v>
      </c>
      <c r="Z974" s="31">
        <v>0</v>
      </c>
      <c r="AA974" s="31">
        <v>0</v>
      </c>
      <c r="AB974" s="31">
        <v>0</v>
      </c>
      <c r="AC974" s="31">
        <v>84998.12</v>
      </c>
      <c r="AD974" s="31">
        <v>0</v>
      </c>
      <c r="AE974" s="31">
        <v>0</v>
      </c>
      <c r="AF974" s="34" t="s">
        <v>274</v>
      </c>
      <c r="AG974" s="34">
        <v>2022</v>
      </c>
      <c r="AH974" s="35">
        <v>2022</v>
      </c>
      <c r="AT974" s="20" t="e">
        <f>VLOOKUP(C974,AW:AX,2,FALSE)</f>
        <v>#N/A</v>
      </c>
      <c r="BZ974" s="71"/>
    </row>
    <row r="975" spans="1:78" ht="61.5" x14ac:dyDescent="0.85">
      <c r="A975" s="20">
        <v>1</v>
      </c>
      <c r="B975" s="66">
        <f>SUBTOTAL(103,$A$963:A975)</f>
        <v>13</v>
      </c>
      <c r="C975" s="24" t="s">
        <v>590</v>
      </c>
      <c r="D975" s="31">
        <f t="shared" si="227"/>
        <v>5350859.32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3">
        <v>0</v>
      </c>
      <c r="L975" s="31">
        <v>0</v>
      </c>
      <c r="M975" s="31">
        <v>1151</v>
      </c>
      <c r="N975" s="31">
        <v>5271782.58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1">
        <v>0</v>
      </c>
      <c r="Y975" s="31">
        <v>0</v>
      </c>
      <c r="Z975" s="31">
        <v>0</v>
      </c>
      <c r="AA975" s="31">
        <v>0</v>
      </c>
      <c r="AB975" s="31">
        <v>0</v>
      </c>
      <c r="AC975" s="31">
        <v>79076.740000000005</v>
      </c>
      <c r="AD975" s="31">
        <v>0</v>
      </c>
      <c r="AE975" s="31">
        <v>0</v>
      </c>
      <c r="AF975" s="34" t="s">
        <v>274</v>
      </c>
      <c r="AG975" s="34">
        <v>2022</v>
      </c>
      <c r="AH975" s="35">
        <v>2022</v>
      </c>
      <c r="AT975" s="20" t="e">
        <f>VLOOKUP(C975,AW:AX,2,FALSE)</f>
        <v>#N/A</v>
      </c>
      <c r="BZ975" s="71"/>
    </row>
    <row r="976" spans="1:78" ht="61.5" x14ac:dyDescent="0.85">
      <c r="A976" s="20">
        <v>1</v>
      </c>
      <c r="B976" s="66">
        <f>SUBTOTAL(103,$A$963:A976)</f>
        <v>14</v>
      </c>
      <c r="C976" s="24" t="s">
        <v>591</v>
      </c>
      <c r="D976" s="31">
        <f t="shared" si="227"/>
        <v>2108786.08</v>
      </c>
      <c r="E976" s="31">
        <v>0</v>
      </c>
      <c r="F976" s="31">
        <v>0</v>
      </c>
      <c r="G976" s="31">
        <v>0</v>
      </c>
      <c r="H976" s="31">
        <v>0</v>
      </c>
      <c r="I976" s="31">
        <v>0</v>
      </c>
      <c r="J976" s="31">
        <v>0</v>
      </c>
      <c r="K976" s="33">
        <v>0</v>
      </c>
      <c r="L976" s="31">
        <v>0</v>
      </c>
      <c r="M976" s="31">
        <v>464.7</v>
      </c>
      <c r="N976" s="31">
        <v>2077621.75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0</v>
      </c>
      <c r="U976" s="31">
        <v>0</v>
      </c>
      <c r="V976" s="31">
        <v>0</v>
      </c>
      <c r="W976" s="31">
        <v>0</v>
      </c>
      <c r="X976" s="31">
        <v>0</v>
      </c>
      <c r="Y976" s="31">
        <v>0</v>
      </c>
      <c r="Z976" s="31">
        <v>0</v>
      </c>
      <c r="AA976" s="31">
        <v>0</v>
      </c>
      <c r="AB976" s="31">
        <v>0</v>
      </c>
      <c r="AC976" s="31">
        <v>31164.33</v>
      </c>
      <c r="AD976" s="31">
        <v>0</v>
      </c>
      <c r="AE976" s="31">
        <v>0</v>
      </c>
      <c r="AF976" s="34" t="s">
        <v>274</v>
      </c>
      <c r="AG976" s="34">
        <v>2022</v>
      </c>
      <c r="AH976" s="35">
        <v>2022</v>
      </c>
      <c r="AT976" s="20" t="e">
        <f>VLOOKUP(C976,AW:AX,2,FALSE)</f>
        <v>#N/A</v>
      </c>
      <c r="BZ976" s="71"/>
    </row>
    <row r="977" spans="1:78" ht="61.5" x14ac:dyDescent="0.85">
      <c r="A977" s="20">
        <v>1</v>
      </c>
      <c r="B977" s="66">
        <f>SUBTOTAL(103,$A$963:A977)</f>
        <v>15</v>
      </c>
      <c r="C977" s="24" t="s">
        <v>592</v>
      </c>
      <c r="D977" s="31">
        <f t="shared" si="227"/>
        <v>2108788.0499999998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3">
        <v>0</v>
      </c>
      <c r="L977" s="31">
        <v>0</v>
      </c>
      <c r="M977" s="31">
        <v>464.68</v>
      </c>
      <c r="N977" s="31">
        <v>2077623.69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1">
        <v>0</v>
      </c>
      <c r="X977" s="31">
        <v>0</v>
      </c>
      <c r="Y977" s="31">
        <v>0</v>
      </c>
      <c r="Z977" s="31">
        <v>0</v>
      </c>
      <c r="AA977" s="31">
        <v>0</v>
      </c>
      <c r="AB977" s="31">
        <v>0</v>
      </c>
      <c r="AC977" s="31">
        <v>31164.36</v>
      </c>
      <c r="AD977" s="31">
        <v>0</v>
      </c>
      <c r="AE977" s="31">
        <v>0</v>
      </c>
      <c r="AF977" s="34" t="s">
        <v>274</v>
      </c>
      <c r="AG977" s="34">
        <v>2022</v>
      </c>
      <c r="AH977" s="35">
        <v>2022</v>
      </c>
      <c r="AT977" s="20" t="e">
        <f>VLOOKUP(C977,AW:AX,2,FALSE)</f>
        <v>#N/A</v>
      </c>
      <c r="BZ977" s="71"/>
    </row>
    <row r="978" spans="1:78" ht="61.5" x14ac:dyDescent="0.85">
      <c r="A978" s="20">
        <v>1</v>
      </c>
      <c r="B978" s="66">
        <f>SUBTOTAL(103,$A$963:A978)</f>
        <v>16</v>
      </c>
      <c r="C978" s="24" t="s">
        <v>1678</v>
      </c>
      <c r="D978" s="31">
        <f t="shared" si="227"/>
        <v>4161500</v>
      </c>
      <c r="E978" s="31">
        <v>0</v>
      </c>
      <c r="F978" s="31">
        <v>0</v>
      </c>
      <c r="G978" s="31">
        <v>0</v>
      </c>
      <c r="H978" s="31">
        <v>0</v>
      </c>
      <c r="I978" s="31">
        <v>0</v>
      </c>
      <c r="J978" s="31">
        <v>0</v>
      </c>
      <c r="K978" s="33">
        <v>0</v>
      </c>
      <c r="L978" s="31">
        <v>0</v>
      </c>
      <c r="M978" s="31">
        <v>828</v>
      </c>
      <c r="N978" s="31">
        <v>4100000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0</v>
      </c>
      <c r="U978" s="31">
        <v>0</v>
      </c>
      <c r="V978" s="31">
        <v>0</v>
      </c>
      <c r="W978" s="31">
        <v>0</v>
      </c>
      <c r="X978" s="31">
        <v>0</v>
      </c>
      <c r="Y978" s="31">
        <v>0</v>
      </c>
      <c r="Z978" s="31">
        <v>0</v>
      </c>
      <c r="AA978" s="31">
        <v>0</v>
      </c>
      <c r="AB978" s="31">
        <v>0</v>
      </c>
      <c r="AC978" s="31">
        <v>61500</v>
      </c>
      <c r="AD978" s="31">
        <v>0</v>
      </c>
      <c r="AE978" s="31">
        <v>0</v>
      </c>
      <c r="AF978" s="34" t="s">
        <v>274</v>
      </c>
      <c r="AG978" s="34">
        <v>2022</v>
      </c>
      <c r="AH978" s="35">
        <v>2022</v>
      </c>
      <c r="BZ978" s="71"/>
    </row>
    <row r="979" spans="1:78" ht="61.5" x14ac:dyDescent="0.85">
      <c r="A979" s="20">
        <v>1</v>
      </c>
      <c r="B979" s="66">
        <f>SUBTOTAL(103,$A$963:A979)</f>
        <v>17</v>
      </c>
      <c r="C979" s="24" t="s">
        <v>593</v>
      </c>
      <c r="D979" s="31">
        <f t="shared" si="227"/>
        <v>4241954.88</v>
      </c>
      <c r="E979" s="31">
        <v>0</v>
      </c>
      <c r="F979" s="31">
        <v>0</v>
      </c>
      <c r="G979" s="31">
        <v>0</v>
      </c>
      <c r="H979" s="31">
        <v>0</v>
      </c>
      <c r="I979" s="31">
        <v>0</v>
      </c>
      <c r="J979" s="31">
        <v>0</v>
      </c>
      <c r="K979" s="33">
        <v>0</v>
      </c>
      <c r="L979" s="31">
        <v>0</v>
      </c>
      <c r="M979" s="31">
        <v>917.7</v>
      </c>
      <c r="N979" s="31">
        <v>4179265.89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0</v>
      </c>
      <c r="U979" s="31">
        <v>0</v>
      </c>
      <c r="V979" s="31">
        <v>0</v>
      </c>
      <c r="W979" s="31">
        <v>0</v>
      </c>
      <c r="X979" s="31">
        <v>0</v>
      </c>
      <c r="Y979" s="31">
        <v>0</v>
      </c>
      <c r="Z979" s="31">
        <v>0</v>
      </c>
      <c r="AA979" s="31">
        <v>0</v>
      </c>
      <c r="AB979" s="31">
        <v>0</v>
      </c>
      <c r="AC979" s="31">
        <v>62688.99</v>
      </c>
      <c r="AD979" s="31">
        <v>0</v>
      </c>
      <c r="AE979" s="31">
        <v>0</v>
      </c>
      <c r="AF979" s="34" t="s">
        <v>274</v>
      </c>
      <c r="AG979" s="34">
        <v>2022</v>
      </c>
      <c r="AH979" s="35">
        <v>2022</v>
      </c>
      <c r="AT979" s="20" t="e">
        <f t="shared" ref="AT979:AT988" si="228">VLOOKUP(C979,AW:AX,2,FALSE)</f>
        <v>#N/A</v>
      </c>
      <c r="BZ979" s="71"/>
    </row>
    <row r="980" spans="1:78" ht="61.5" x14ac:dyDescent="0.85">
      <c r="A980" s="20">
        <v>1</v>
      </c>
      <c r="B980" s="66">
        <f>SUBTOTAL(103,$A$963:A980)</f>
        <v>18</v>
      </c>
      <c r="C980" s="24" t="s">
        <v>594</v>
      </c>
      <c r="D980" s="31">
        <f t="shared" si="227"/>
        <v>3514995.2</v>
      </c>
      <c r="E980" s="31">
        <v>0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3">
        <v>0</v>
      </c>
      <c r="L980" s="31">
        <v>0</v>
      </c>
      <c r="M980" s="31">
        <v>775</v>
      </c>
      <c r="N980" s="31">
        <v>3463049.46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31">
        <v>0</v>
      </c>
      <c r="U980" s="31">
        <v>0</v>
      </c>
      <c r="V980" s="31">
        <v>0</v>
      </c>
      <c r="W980" s="31">
        <v>0</v>
      </c>
      <c r="X980" s="31">
        <v>0</v>
      </c>
      <c r="Y980" s="31">
        <v>0</v>
      </c>
      <c r="Z980" s="31">
        <v>0</v>
      </c>
      <c r="AA980" s="31">
        <v>0</v>
      </c>
      <c r="AB980" s="31">
        <v>0</v>
      </c>
      <c r="AC980" s="31">
        <v>51945.74</v>
      </c>
      <c r="AD980" s="31">
        <v>0</v>
      </c>
      <c r="AE980" s="31">
        <v>0</v>
      </c>
      <c r="AF980" s="34" t="s">
        <v>274</v>
      </c>
      <c r="AG980" s="34">
        <v>2022</v>
      </c>
      <c r="AH980" s="35">
        <v>2022</v>
      </c>
      <c r="AT980" s="20" t="e">
        <f t="shared" si="228"/>
        <v>#N/A</v>
      </c>
      <c r="BZ980" s="71"/>
    </row>
    <row r="981" spans="1:78" ht="61.5" x14ac:dyDescent="0.85">
      <c r="A981" s="20">
        <v>1</v>
      </c>
      <c r="B981" s="66">
        <f>SUBTOTAL(103,$A$963:A981)</f>
        <v>19</v>
      </c>
      <c r="C981" s="24" t="s">
        <v>595</v>
      </c>
      <c r="D981" s="31">
        <f t="shared" si="227"/>
        <v>2547497.35</v>
      </c>
      <c r="E981" s="31">
        <v>0</v>
      </c>
      <c r="F981" s="31">
        <v>0</v>
      </c>
      <c r="G981" s="31">
        <v>0</v>
      </c>
      <c r="H981" s="31">
        <v>0</v>
      </c>
      <c r="I981" s="31">
        <v>0</v>
      </c>
      <c r="J981" s="31">
        <v>0</v>
      </c>
      <c r="K981" s="33">
        <v>0</v>
      </c>
      <c r="L981" s="31">
        <v>0</v>
      </c>
      <c r="M981" s="31">
        <v>557</v>
      </c>
      <c r="N981" s="31">
        <v>2509849.61</v>
      </c>
      <c r="O981" s="31">
        <v>0</v>
      </c>
      <c r="P981" s="31">
        <v>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1">
        <v>0</v>
      </c>
      <c r="X981" s="31">
        <v>0</v>
      </c>
      <c r="Y981" s="31">
        <v>0</v>
      </c>
      <c r="Z981" s="31">
        <v>0</v>
      </c>
      <c r="AA981" s="31">
        <v>0</v>
      </c>
      <c r="AB981" s="31">
        <v>0</v>
      </c>
      <c r="AC981" s="31">
        <v>37647.74</v>
      </c>
      <c r="AD981" s="31">
        <v>0</v>
      </c>
      <c r="AE981" s="31">
        <v>0</v>
      </c>
      <c r="AF981" s="34" t="s">
        <v>274</v>
      </c>
      <c r="AG981" s="34">
        <v>2022</v>
      </c>
      <c r="AH981" s="35">
        <v>2022</v>
      </c>
      <c r="AT981" s="20" t="e">
        <f t="shared" si="228"/>
        <v>#N/A</v>
      </c>
      <c r="BZ981" s="71"/>
    </row>
    <row r="982" spans="1:78" ht="61.5" x14ac:dyDescent="0.85">
      <c r="A982" s="20">
        <v>1</v>
      </c>
      <c r="B982" s="66">
        <f>SUBTOTAL(103,$A$963:A982)</f>
        <v>20</v>
      </c>
      <c r="C982" s="24" t="s">
        <v>596</v>
      </c>
      <c r="D982" s="31">
        <f t="shared" si="227"/>
        <v>974208.66</v>
      </c>
      <c r="E982" s="31">
        <v>0</v>
      </c>
      <c r="F982" s="31">
        <v>0</v>
      </c>
      <c r="G982" s="31">
        <v>0</v>
      </c>
      <c r="H982" s="31">
        <v>0</v>
      </c>
      <c r="I982" s="31">
        <v>0</v>
      </c>
      <c r="J982" s="31">
        <v>0</v>
      </c>
      <c r="K982" s="33">
        <v>0</v>
      </c>
      <c r="L982" s="31">
        <v>0</v>
      </c>
      <c r="M982" s="31">
        <v>226</v>
      </c>
      <c r="N982" s="31">
        <v>959811.49</v>
      </c>
      <c r="O982" s="31">
        <v>0</v>
      </c>
      <c r="P982" s="31">
        <v>0</v>
      </c>
      <c r="Q982" s="31">
        <v>0</v>
      </c>
      <c r="R982" s="31">
        <v>0</v>
      </c>
      <c r="S982" s="31">
        <v>0</v>
      </c>
      <c r="T982" s="31">
        <v>0</v>
      </c>
      <c r="U982" s="31">
        <v>0</v>
      </c>
      <c r="V982" s="31">
        <v>0</v>
      </c>
      <c r="W982" s="31">
        <v>0</v>
      </c>
      <c r="X982" s="31">
        <v>0</v>
      </c>
      <c r="Y982" s="31">
        <v>0</v>
      </c>
      <c r="Z982" s="31">
        <v>0</v>
      </c>
      <c r="AA982" s="31">
        <v>0</v>
      </c>
      <c r="AB982" s="31">
        <v>0</v>
      </c>
      <c r="AC982" s="31">
        <v>14397.17</v>
      </c>
      <c r="AD982" s="31">
        <v>0</v>
      </c>
      <c r="AE982" s="31">
        <v>0</v>
      </c>
      <c r="AF982" s="34" t="s">
        <v>274</v>
      </c>
      <c r="AG982" s="34">
        <v>2022</v>
      </c>
      <c r="AH982" s="35">
        <v>2022</v>
      </c>
      <c r="AT982" s="20" t="e">
        <f t="shared" si="228"/>
        <v>#N/A</v>
      </c>
      <c r="BZ982" s="71"/>
    </row>
    <row r="983" spans="1:78" ht="61.5" x14ac:dyDescent="0.85">
      <c r="A983" s="20">
        <v>1</v>
      </c>
      <c r="B983" s="66">
        <f>SUBTOTAL(103,$A$963:A983)</f>
        <v>21</v>
      </c>
      <c r="C983" s="24" t="s">
        <v>597</v>
      </c>
      <c r="D983" s="31">
        <f t="shared" si="227"/>
        <v>2883983.08</v>
      </c>
      <c r="E983" s="31">
        <v>0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3">
        <v>0</v>
      </c>
      <c r="L983" s="31">
        <v>0</v>
      </c>
      <c r="M983" s="31">
        <v>632</v>
      </c>
      <c r="N983" s="31">
        <v>2841362.64</v>
      </c>
      <c r="O983" s="31">
        <v>0</v>
      </c>
      <c r="P983" s="31">
        <v>0</v>
      </c>
      <c r="Q983" s="31">
        <v>0</v>
      </c>
      <c r="R983" s="31">
        <v>0</v>
      </c>
      <c r="S983" s="31">
        <v>0</v>
      </c>
      <c r="T983" s="31">
        <v>0</v>
      </c>
      <c r="U983" s="31">
        <v>0</v>
      </c>
      <c r="V983" s="31">
        <v>0</v>
      </c>
      <c r="W983" s="31">
        <v>0</v>
      </c>
      <c r="X983" s="31">
        <v>0</v>
      </c>
      <c r="Y983" s="31">
        <v>0</v>
      </c>
      <c r="Z983" s="31">
        <v>0</v>
      </c>
      <c r="AA983" s="31">
        <v>0</v>
      </c>
      <c r="AB983" s="31">
        <v>0</v>
      </c>
      <c r="AC983" s="31">
        <v>42620.44</v>
      </c>
      <c r="AD983" s="31">
        <v>0</v>
      </c>
      <c r="AE983" s="31">
        <v>0</v>
      </c>
      <c r="AF983" s="34" t="s">
        <v>274</v>
      </c>
      <c r="AG983" s="34">
        <v>2022</v>
      </c>
      <c r="AH983" s="35">
        <v>2022</v>
      </c>
      <c r="AT983" s="20" t="e">
        <f t="shared" si="228"/>
        <v>#N/A</v>
      </c>
      <c r="BZ983" s="71"/>
    </row>
    <row r="984" spans="1:78" ht="61.5" x14ac:dyDescent="0.85">
      <c r="A984" s="20">
        <v>1</v>
      </c>
      <c r="B984" s="66">
        <f>SUBTOTAL(103,$A$963:A984)</f>
        <v>22</v>
      </c>
      <c r="C984" s="24" t="s">
        <v>598</v>
      </c>
      <c r="D984" s="31">
        <f t="shared" si="227"/>
        <v>2883983.08</v>
      </c>
      <c r="E984" s="31">
        <v>0</v>
      </c>
      <c r="F984" s="31">
        <v>0</v>
      </c>
      <c r="G984" s="31">
        <v>0</v>
      </c>
      <c r="H984" s="31">
        <v>0</v>
      </c>
      <c r="I984" s="31">
        <v>0</v>
      </c>
      <c r="J984" s="31">
        <v>0</v>
      </c>
      <c r="K984" s="33">
        <v>0</v>
      </c>
      <c r="L984" s="31">
        <v>0</v>
      </c>
      <c r="M984" s="31">
        <v>632</v>
      </c>
      <c r="N984" s="31">
        <v>2841362.64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1">
        <v>0</v>
      </c>
      <c r="Y984" s="31">
        <v>0</v>
      </c>
      <c r="Z984" s="31">
        <v>0</v>
      </c>
      <c r="AA984" s="31">
        <v>0</v>
      </c>
      <c r="AB984" s="31">
        <v>0</v>
      </c>
      <c r="AC984" s="31">
        <v>42620.44</v>
      </c>
      <c r="AD984" s="31">
        <v>0</v>
      </c>
      <c r="AE984" s="31">
        <v>0</v>
      </c>
      <c r="AF984" s="34" t="s">
        <v>274</v>
      </c>
      <c r="AG984" s="34">
        <v>2022</v>
      </c>
      <c r="AH984" s="35">
        <v>2022</v>
      </c>
      <c r="AT984" s="20" t="e">
        <f t="shared" si="228"/>
        <v>#N/A</v>
      </c>
      <c r="BZ984" s="71"/>
    </row>
    <row r="985" spans="1:78" ht="61.5" x14ac:dyDescent="0.85">
      <c r="A985" s="20">
        <v>1</v>
      </c>
      <c r="B985" s="66">
        <f>SUBTOTAL(103,$A$963:A985)</f>
        <v>23</v>
      </c>
      <c r="C985" s="24" t="s">
        <v>599</v>
      </c>
      <c r="D985" s="31">
        <f t="shared" si="227"/>
        <v>3302263</v>
      </c>
      <c r="E985" s="31">
        <v>0</v>
      </c>
      <c r="F985" s="31">
        <v>0</v>
      </c>
      <c r="G985" s="31">
        <v>0</v>
      </c>
      <c r="H985" s="31">
        <v>0</v>
      </c>
      <c r="I985" s="31">
        <v>0</v>
      </c>
      <c r="J985" s="31">
        <v>0</v>
      </c>
      <c r="K985" s="33">
        <v>0</v>
      </c>
      <c r="L985" s="31">
        <v>0</v>
      </c>
      <c r="M985" s="31">
        <v>720</v>
      </c>
      <c r="N985" s="31">
        <v>3253461.08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1">
        <v>0</v>
      </c>
      <c r="X985" s="31">
        <v>0</v>
      </c>
      <c r="Y985" s="31">
        <v>0</v>
      </c>
      <c r="Z985" s="31">
        <v>0</v>
      </c>
      <c r="AA985" s="31">
        <v>0</v>
      </c>
      <c r="AB985" s="31">
        <v>0</v>
      </c>
      <c r="AC985" s="31">
        <v>48801.919999999998</v>
      </c>
      <c r="AD985" s="31">
        <v>0</v>
      </c>
      <c r="AE985" s="31">
        <v>0</v>
      </c>
      <c r="AF985" s="34" t="s">
        <v>274</v>
      </c>
      <c r="AG985" s="34">
        <v>2022</v>
      </c>
      <c r="AH985" s="35">
        <v>2022</v>
      </c>
      <c r="AT985" s="20" t="e">
        <f t="shared" si="228"/>
        <v>#N/A</v>
      </c>
      <c r="BZ985" s="71"/>
    </row>
    <row r="986" spans="1:78" ht="61.5" x14ac:dyDescent="0.85">
      <c r="A986" s="20">
        <v>1</v>
      </c>
      <c r="B986" s="66">
        <f>SUBTOTAL(103,$A$963:A986)</f>
        <v>24</v>
      </c>
      <c r="C986" s="24" t="s">
        <v>600</v>
      </c>
      <c r="D986" s="31">
        <f t="shared" si="227"/>
        <v>4323303.57</v>
      </c>
      <c r="E986" s="31">
        <v>0</v>
      </c>
      <c r="F986" s="31">
        <v>0</v>
      </c>
      <c r="G986" s="31">
        <v>0</v>
      </c>
      <c r="H986" s="31">
        <v>0</v>
      </c>
      <c r="I986" s="31">
        <v>0</v>
      </c>
      <c r="J986" s="31">
        <v>0</v>
      </c>
      <c r="K986" s="33">
        <v>0</v>
      </c>
      <c r="L986" s="31">
        <v>0</v>
      </c>
      <c r="M986" s="31">
        <v>971</v>
      </c>
      <c r="N986" s="31">
        <v>4259412.38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1">
        <v>0</v>
      </c>
      <c r="Y986" s="31">
        <v>0</v>
      </c>
      <c r="Z986" s="31">
        <v>0</v>
      </c>
      <c r="AA986" s="31">
        <v>0</v>
      </c>
      <c r="AB986" s="31">
        <v>0</v>
      </c>
      <c r="AC986" s="31">
        <v>63891.19</v>
      </c>
      <c r="AD986" s="31">
        <v>0</v>
      </c>
      <c r="AE986" s="31">
        <v>0</v>
      </c>
      <c r="AF986" s="34" t="s">
        <v>274</v>
      </c>
      <c r="AG986" s="34">
        <v>2022</v>
      </c>
      <c r="AH986" s="35">
        <v>2022</v>
      </c>
      <c r="AT986" s="20" t="e">
        <f t="shared" si="228"/>
        <v>#N/A</v>
      </c>
      <c r="BZ986" s="71"/>
    </row>
    <row r="987" spans="1:78" ht="61.5" x14ac:dyDescent="0.85">
      <c r="A987" s="20">
        <v>1</v>
      </c>
      <c r="B987" s="66">
        <f>SUBTOTAL(103,$A$963:A987)</f>
        <v>25</v>
      </c>
      <c r="C987" s="24" t="s">
        <v>601</v>
      </c>
      <c r="D987" s="31">
        <f t="shared" si="227"/>
        <v>2249559.61</v>
      </c>
      <c r="E987" s="31">
        <v>0</v>
      </c>
      <c r="F987" s="31">
        <v>0</v>
      </c>
      <c r="G987" s="31">
        <v>0</v>
      </c>
      <c r="H987" s="31">
        <v>0</v>
      </c>
      <c r="I987" s="31">
        <v>0</v>
      </c>
      <c r="J987" s="31">
        <v>0</v>
      </c>
      <c r="K987" s="33">
        <v>1</v>
      </c>
      <c r="L987" s="31">
        <v>2249559.61</v>
      </c>
      <c r="M987" s="31">
        <v>0</v>
      </c>
      <c r="N987" s="31">
        <v>0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1">
        <v>0</v>
      </c>
      <c r="Y987" s="31">
        <v>0</v>
      </c>
      <c r="Z987" s="31">
        <v>0</v>
      </c>
      <c r="AA987" s="31">
        <v>0</v>
      </c>
      <c r="AB987" s="31">
        <v>0</v>
      </c>
      <c r="AC987" s="31">
        <v>0</v>
      </c>
      <c r="AD987" s="31">
        <v>0</v>
      </c>
      <c r="AE987" s="31">
        <v>0</v>
      </c>
      <c r="AF987" s="34" t="s">
        <v>274</v>
      </c>
      <c r="AG987" s="34">
        <v>2022</v>
      </c>
      <c r="AH987" s="35" t="s">
        <v>274</v>
      </c>
      <c r="AT987" s="20" t="e">
        <f t="shared" si="228"/>
        <v>#N/A</v>
      </c>
      <c r="BZ987" s="71"/>
    </row>
    <row r="988" spans="1:78" ht="61.5" x14ac:dyDescent="0.85">
      <c r="A988" s="20">
        <v>1</v>
      </c>
      <c r="B988" s="66">
        <f>SUBTOTAL(103,$A$963:A988)</f>
        <v>26</v>
      </c>
      <c r="C988" s="24" t="s">
        <v>602</v>
      </c>
      <c r="D988" s="31">
        <f t="shared" si="227"/>
        <v>3899114.33</v>
      </c>
      <c r="E988" s="31">
        <v>0</v>
      </c>
      <c r="F988" s="31">
        <v>0</v>
      </c>
      <c r="G988" s="31">
        <v>0</v>
      </c>
      <c r="H988" s="31">
        <v>0</v>
      </c>
      <c r="I988" s="31">
        <v>0</v>
      </c>
      <c r="J988" s="31">
        <v>0</v>
      </c>
      <c r="K988" s="33">
        <v>0</v>
      </c>
      <c r="L988" s="31">
        <v>0</v>
      </c>
      <c r="M988" s="31">
        <v>844</v>
      </c>
      <c r="N988" s="31">
        <v>3841491.95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1">
        <v>0</v>
      </c>
      <c r="X988" s="31">
        <v>0</v>
      </c>
      <c r="Y988" s="31">
        <v>0</v>
      </c>
      <c r="Z988" s="31">
        <v>0</v>
      </c>
      <c r="AA988" s="31">
        <v>0</v>
      </c>
      <c r="AB988" s="31">
        <v>0</v>
      </c>
      <c r="AC988" s="31">
        <v>57622.38</v>
      </c>
      <c r="AD988" s="31">
        <v>0</v>
      </c>
      <c r="AE988" s="31">
        <v>0</v>
      </c>
      <c r="AF988" s="34" t="s">
        <v>274</v>
      </c>
      <c r="AG988" s="34">
        <v>2022</v>
      </c>
      <c r="AH988" s="35">
        <v>2022</v>
      </c>
      <c r="AT988" s="20" t="e">
        <f t="shared" si="228"/>
        <v>#N/A</v>
      </c>
      <c r="BZ988" s="71"/>
    </row>
    <row r="989" spans="1:78" ht="61.5" x14ac:dyDescent="0.85">
      <c r="A989" s="20">
        <v>1</v>
      </c>
      <c r="B989" s="66">
        <f>SUBTOTAL(103,$A$963:A989)</f>
        <v>27</v>
      </c>
      <c r="C989" s="24" t="s">
        <v>1679</v>
      </c>
      <c r="D989" s="31">
        <f t="shared" si="227"/>
        <v>4374650</v>
      </c>
      <c r="E989" s="31">
        <v>0</v>
      </c>
      <c r="F989" s="31">
        <v>0</v>
      </c>
      <c r="G989" s="31">
        <v>0</v>
      </c>
      <c r="H989" s="31">
        <v>0</v>
      </c>
      <c r="I989" s="31">
        <v>0</v>
      </c>
      <c r="J989" s="31">
        <v>0</v>
      </c>
      <c r="K989" s="33">
        <v>0</v>
      </c>
      <c r="L989" s="31">
        <v>0</v>
      </c>
      <c r="M989" s="31">
        <v>960</v>
      </c>
      <c r="N989" s="31">
        <v>4310000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0</v>
      </c>
      <c r="U989" s="31">
        <v>0</v>
      </c>
      <c r="V989" s="31">
        <v>0</v>
      </c>
      <c r="W989" s="31">
        <v>0</v>
      </c>
      <c r="X989" s="31">
        <v>0</v>
      </c>
      <c r="Y989" s="31">
        <v>0</v>
      </c>
      <c r="Z989" s="31">
        <v>0</v>
      </c>
      <c r="AA989" s="31">
        <v>0</v>
      </c>
      <c r="AB989" s="31">
        <v>0</v>
      </c>
      <c r="AC989" s="31">
        <v>64650</v>
      </c>
      <c r="AD989" s="31">
        <v>0</v>
      </c>
      <c r="AE989" s="31">
        <v>0</v>
      </c>
      <c r="AF989" s="34" t="s">
        <v>274</v>
      </c>
      <c r="AG989" s="34">
        <v>2022</v>
      </c>
      <c r="AH989" s="35">
        <v>2022</v>
      </c>
      <c r="BZ989" s="71"/>
    </row>
    <row r="990" spans="1:78" ht="61.5" x14ac:dyDescent="0.85">
      <c r="A990" s="20">
        <v>1</v>
      </c>
      <c r="B990" s="66">
        <f>SUBTOTAL(103,$A$963:A990)</f>
        <v>28</v>
      </c>
      <c r="C990" s="24" t="s">
        <v>1680</v>
      </c>
      <c r="D990" s="31">
        <f t="shared" si="227"/>
        <v>5613232.8199999994</v>
      </c>
      <c r="E990" s="31">
        <v>0</v>
      </c>
      <c r="F990" s="31">
        <v>0</v>
      </c>
      <c r="G990" s="31">
        <v>0</v>
      </c>
      <c r="H990" s="31">
        <v>0</v>
      </c>
      <c r="I990" s="31">
        <v>0</v>
      </c>
      <c r="J990" s="31">
        <v>0</v>
      </c>
      <c r="K990" s="33">
        <v>0</v>
      </c>
      <c r="L990" s="31">
        <v>0</v>
      </c>
      <c r="M990" s="31">
        <v>1075</v>
      </c>
      <c r="N990" s="31">
        <v>5530278.6399999997</v>
      </c>
      <c r="O990" s="31">
        <v>0</v>
      </c>
      <c r="P990" s="31">
        <v>0</v>
      </c>
      <c r="Q990" s="31">
        <v>0</v>
      </c>
      <c r="R990" s="31">
        <v>0</v>
      </c>
      <c r="S990" s="31">
        <v>0</v>
      </c>
      <c r="T990" s="31">
        <v>0</v>
      </c>
      <c r="U990" s="31">
        <v>0</v>
      </c>
      <c r="V990" s="31">
        <v>0</v>
      </c>
      <c r="W990" s="31">
        <v>0</v>
      </c>
      <c r="X990" s="31">
        <v>0</v>
      </c>
      <c r="Y990" s="31">
        <v>0</v>
      </c>
      <c r="Z990" s="31">
        <v>0</v>
      </c>
      <c r="AA990" s="31">
        <v>0</v>
      </c>
      <c r="AB990" s="31">
        <v>0</v>
      </c>
      <c r="AC990" s="31">
        <v>82954.179999999993</v>
      </c>
      <c r="AD990" s="31">
        <v>0</v>
      </c>
      <c r="AE990" s="31">
        <v>0</v>
      </c>
      <c r="AF990" s="34" t="s">
        <v>274</v>
      </c>
      <c r="AG990" s="34">
        <v>2022</v>
      </c>
      <c r="AH990" s="35">
        <v>2022</v>
      </c>
      <c r="BZ990" s="71"/>
    </row>
    <row r="991" spans="1:78" ht="61.5" x14ac:dyDescent="0.85">
      <c r="A991" s="20">
        <v>1</v>
      </c>
      <c r="B991" s="66">
        <f>SUBTOTAL(103,$A$963:A991)</f>
        <v>29</v>
      </c>
      <c r="C991" s="24" t="s">
        <v>603</v>
      </c>
      <c r="D991" s="31">
        <f t="shared" si="227"/>
        <v>3834609.35</v>
      </c>
      <c r="E991" s="31">
        <v>0</v>
      </c>
      <c r="F991" s="31">
        <v>0</v>
      </c>
      <c r="G991" s="31">
        <v>0</v>
      </c>
      <c r="H991" s="31">
        <v>0</v>
      </c>
      <c r="I991" s="31">
        <v>0</v>
      </c>
      <c r="J991" s="31">
        <v>0</v>
      </c>
      <c r="K991" s="33">
        <v>0</v>
      </c>
      <c r="L991" s="31">
        <v>0</v>
      </c>
      <c r="M991" s="31">
        <v>832</v>
      </c>
      <c r="N991" s="31">
        <v>3777940.25</v>
      </c>
      <c r="O991" s="31">
        <v>0</v>
      </c>
      <c r="P991" s="31">
        <v>0</v>
      </c>
      <c r="Q991" s="31">
        <v>0</v>
      </c>
      <c r="R991" s="31">
        <v>0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1">
        <v>0</v>
      </c>
      <c r="Y991" s="31">
        <v>0</v>
      </c>
      <c r="Z991" s="31">
        <v>0</v>
      </c>
      <c r="AA991" s="31">
        <v>0</v>
      </c>
      <c r="AB991" s="31">
        <v>0</v>
      </c>
      <c r="AC991" s="31">
        <v>56669.1</v>
      </c>
      <c r="AD991" s="31">
        <v>0</v>
      </c>
      <c r="AE991" s="31">
        <v>0</v>
      </c>
      <c r="AF991" s="34" t="s">
        <v>274</v>
      </c>
      <c r="AG991" s="34">
        <v>2022</v>
      </c>
      <c r="AH991" s="35">
        <v>2022</v>
      </c>
      <c r="AT991" s="20" t="e">
        <f t="shared" ref="AT991:AT1007" si="229">VLOOKUP(C991,AW:AX,2,FALSE)</f>
        <v>#N/A</v>
      </c>
      <c r="BZ991" s="71"/>
    </row>
    <row r="992" spans="1:78" ht="61.5" x14ac:dyDescent="0.85">
      <c r="A992" s="20">
        <v>1</v>
      </c>
      <c r="B992" s="66">
        <f>SUBTOTAL(103,$A$963:A992)</f>
        <v>30</v>
      </c>
      <c r="C992" s="24" t="s">
        <v>604</v>
      </c>
      <c r="D992" s="31">
        <f t="shared" si="227"/>
        <v>2834067.58</v>
      </c>
      <c r="E992" s="31">
        <v>0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3">
        <v>0</v>
      </c>
      <c r="L992" s="31">
        <v>0</v>
      </c>
      <c r="M992" s="31">
        <v>621.5</v>
      </c>
      <c r="N992" s="31">
        <v>2792184.81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1">
        <v>0</v>
      </c>
      <c r="Y992" s="31">
        <v>0</v>
      </c>
      <c r="Z992" s="31">
        <v>0</v>
      </c>
      <c r="AA992" s="31">
        <v>0</v>
      </c>
      <c r="AB992" s="31">
        <v>0</v>
      </c>
      <c r="AC992" s="31">
        <v>41882.769999999997</v>
      </c>
      <c r="AD992" s="31">
        <v>0</v>
      </c>
      <c r="AE992" s="31">
        <v>0</v>
      </c>
      <c r="AF992" s="34" t="s">
        <v>274</v>
      </c>
      <c r="AG992" s="34">
        <v>2022</v>
      </c>
      <c r="AH992" s="35">
        <v>2022</v>
      </c>
      <c r="AT992" s="20" t="e">
        <f t="shared" si="229"/>
        <v>#N/A</v>
      </c>
      <c r="BZ992" s="71"/>
    </row>
    <row r="993" spans="1:78" ht="61.5" x14ac:dyDescent="0.85">
      <c r="A993" s="20">
        <v>1</v>
      </c>
      <c r="B993" s="66">
        <f>SUBTOTAL(103,$A$963:A993)</f>
        <v>31</v>
      </c>
      <c r="C993" s="24" t="s">
        <v>605</v>
      </c>
      <c r="D993" s="31">
        <f t="shared" si="227"/>
        <v>6697616.7399999993</v>
      </c>
      <c r="E993" s="31">
        <v>0</v>
      </c>
      <c r="F993" s="31">
        <v>0</v>
      </c>
      <c r="G993" s="31">
        <v>0</v>
      </c>
      <c r="H993" s="31">
        <v>0</v>
      </c>
      <c r="I993" s="31">
        <v>0</v>
      </c>
      <c r="J993" s="31">
        <v>0</v>
      </c>
      <c r="K993" s="33">
        <v>0</v>
      </c>
      <c r="L993" s="31">
        <v>0</v>
      </c>
      <c r="M993" s="31">
        <v>1447</v>
      </c>
      <c r="N993" s="31">
        <v>6598637.1799999997</v>
      </c>
      <c r="O993" s="31">
        <v>0</v>
      </c>
      <c r="P993" s="31">
        <v>0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1">
        <v>0</v>
      </c>
      <c r="X993" s="31">
        <v>0</v>
      </c>
      <c r="Y993" s="31">
        <v>0</v>
      </c>
      <c r="Z993" s="31">
        <v>0</v>
      </c>
      <c r="AA993" s="31">
        <v>0</v>
      </c>
      <c r="AB993" s="31">
        <v>0</v>
      </c>
      <c r="AC993" s="31">
        <v>98979.56</v>
      </c>
      <c r="AD993" s="31">
        <v>0</v>
      </c>
      <c r="AE993" s="31">
        <v>0</v>
      </c>
      <c r="AF993" s="34" t="s">
        <v>274</v>
      </c>
      <c r="AG993" s="34">
        <v>2022</v>
      </c>
      <c r="AH993" s="35">
        <v>2022</v>
      </c>
      <c r="AT993" s="20" t="e">
        <f t="shared" si="229"/>
        <v>#N/A</v>
      </c>
      <c r="BZ993" s="71"/>
    </row>
    <row r="994" spans="1:78" ht="61.5" x14ac:dyDescent="0.85">
      <c r="A994" s="20">
        <v>1</v>
      </c>
      <c r="B994" s="66">
        <f>SUBTOTAL(103,$A$963:A994)</f>
        <v>32</v>
      </c>
      <c r="C994" s="24" t="s">
        <v>606</v>
      </c>
      <c r="D994" s="31">
        <f t="shared" si="227"/>
        <v>5163885</v>
      </c>
      <c r="E994" s="31">
        <v>0</v>
      </c>
      <c r="F994" s="31">
        <v>0</v>
      </c>
      <c r="G994" s="31">
        <v>0</v>
      </c>
      <c r="H994" s="31">
        <v>0</v>
      </c>
      <c r="I994" s="31">
        <v>0</v>
      </c>
      <c r="J994" s="31">
        <v>0</v>
      </c>
      <c r="K994" s="33">
        <v>0</v>
      </c>
      <c r="L994" s="31">
        <v>0</v>
      </c>
      <c r="M994" s="31">
        <v>0</v>
      </c>
      <c r="N994" s="31">
        <v>0</v>
      </c>
      <c r="O994" s="31">
        <v>0</v>
      </c>
      <c r="P994" s="31">
        <v>0</v>
      </c>
      <c r="Q994" s="31">
        <v>1536</v>
      </c>
      <c r="R994" s="31">
        <v>5087571.43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1">
        <v>0</v>
      </c>
      <c r="Y994" s="31">
        <v>0</v>
      </c>
      <c r="Z994" s="31">
        <v>0</v>
      </c>
      <c r="AA994" s="31">
        <v>0</v>
      </c>
      <c r="AB994" s="31">
        <v>0</v>
      </c>
      <c r="AC994" s="31">
        <v>76313.570000000007</v>
      </c>
      <c r="AD994" s="31">
        <v>0</v>
      </c>
      <c r="AE994" s="31">
        <v>0</v>
      </c>
      <c r="AF994" s="34" t="s">
        <v>274</v>
      </c>
      <c r="AG994" s="34">
        <v>2022</v>
      </c>
      <c r="AH994" s="35">
        <v>2022</v>
      </c>
      <c r="AT994" s="20" t="e">
        <f t="shared" si="229"/>
        <v>#N/A</v>
      </c>
      <c r="BZ994" s="71"/>
    </row>
    <row r="995" spans="1:78" ht="61.5" x14ac:dyDescent="0.85">
      <c r="A995" s="20">
        <v>1</v>
      </c>
      <c r="B995" s="66">
        <f>SUBTOTAL(103,$A$963:A995)</f>
        <v>33</v>
      </c>
      <c r="C995" s="24" t="s">
        <v>607</v>
      </c>
      <c r="D995" s="31">
        <f t="shared" si="227"/>
        <v>4343671.0699999994</v>
      </c>
      <c r="E995" s="31">
        <v>0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33">
        <v>0</v>
      </c>
      <c r="L995" s="31">
        <v>0</v>
      </c>
      <c r="M995" s="31">
        <v>939.1</v>
      </c>
      <c r="N995" s="31">
        <v>4279478.8899999997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0</v>
      </c>
      <c r="U995" s="31">
        <v>0</v>
      </c>
      <c r="V995" s="31">
        <v>0</v>
      </c>
      <c r="W995" s="31">
        <v>0</v>
      </c>
      <c r="X995" s="31">
        <v>0</v>
      </c>
      <c r="Y995" s="31">
        <v>0</v>
      </c>
      <c r="Z995" s="31">
        <v>0</v>
      </c>
      <c r="AA995" s="31">
        <v>0</v>
      </c>
      <c r="AB995" s="31">
        <v>0</v>
      </c>
      <c r="AC995" s="31">
        <v>64192.18</v>
      </c>
      <c r="AD995" s="31">
        <v>0</v>
      </c>
      <c r="AE995" s="31">
        <v>0</v>
      </c>
      <c r="AF995" s="34" t="s">
        <v>274</v>
      </c>
      <c r="AG995" s="34">
        <v>2022</v>
      </c>
      <c r="AH995" s="35">
        <v>2022</v>
      </c>
      <c r="AT995" s="20" t="e">
        <f t="shared" si="229"/>
        <v>#N/A</v>
      </c>
      <c r="BZ995" s="71"/>
    </row>
    <row r="996" spans="1:78" ht="61.5" x14ac:dyDescent="0.85">
      <c r="A996" s="20">
        <v>1</v>
      </c>
      <c r="B996" s="66">
        <f>SUBTOTAL(103,$A$963:A996)</f>
        <v>34</v>
      </c>
      <c r="C996" s="24" t="s">
        <v>608</v>
      </c>
      <c r="D996" s="31">
        <f t="shared" si="227"/>
        <v>2694844.11</v>
      </c>
      <c r="E996" s="31">
        <v>0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3">
        <v>0</v>
      </c>
      <c r="L996" s="31">
        <v>0</v>
      </c>
      <c r="M996" s="31">
        <v>588</v>
      </c>
      <c r="N996" s="31">
        <v>2655018.83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1">
        <v>0</v>
      </c>
      <c r="X996" s="31">
        <v>0</v>
      </c>
      <c r="Y996" s="31">
        <v>0</v>
      </c>
      <c r="Z996" s="31">
        <v>0</v>
      </c>
      <c r="AA996" s="31">
        <v>0</v>
      </c>
      <c r="AB996" s="31">
        <v>0</v>
      </c>
      <c r="AC996" s="31">
        <v>39825.279999999999</v>
      </c>
      <c r="AD996" s="31">
        <v>0</v>
      </c>
      <c r="AE996" s="31">
        <v>0</v>
      </c>
      <c r="AF996" s="34" t="s">
        <v>274</v>
      </c>
      <c r="AG996" s="34">
        <v>2022</v>
      </c>
      <c r="AH996" s="35">
        <v>2022</v>
      </c>
      <c r="AT996" s="20" t="e">
        <f t="shared" si="229"/>
        <v>#N/A</v>
      </c>
      <c r="BZ996" s="71"/>
    </row>
    <row r="997" spans="1:78" ht="61.5" x14ac:dyDescent="0.85">
      <c r="A997" s="20">
        <v>1</v>
      </c>
      <c r="B997" s="66">
        <f>SUBTOTAL(103,$A$963:A997)</f>
        <v>35</v>
      </c>
      <c r="C997" s="24" t="s">
        <v>609</v>
      </c>
      <c r="D997" s="31">
        <f t="shared" si="227"/>
        <v>4820291</v>
      </c>
      <c r="E997" s="31">
        <v>0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33">
        <v>0</v>
      </c>
      <c r="L997" s="31">
        <v>0</v>
      </c>
      <c r="M997" s="31">
        <v>0</v>
      </c>
      <c r="N997" s="31">
        <v>0</v>
      </c>
      <c r="O997" s="31">
        <v>0</v>
      </c>
      <c r="P997" s="31">
        <v>0</v>
      </c>
      <c r="Q997" s="31">
        <v>1425</v>
      </c>
      <c r="R997" s="31">
        <v>4749055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1">
        <v>0</v>
      </c>
      <c r="Y997" s="31">
        <v>0</v>
      </c>
      <c r="Z997" s="31">
        <v>0</v>
      </c>
      <c r="AA997" s="31">
        <v>0</v>
      </c>
      <c r="AB997" s="31">
        <v>0</v>
      </c>
      <c r="AC997" s="31">
        <v>71236</v>
      </c>
      <c r="AD997" s="31">
        <v>0</v>
      </c>
      <c r="AE997" s="31">
        <v>0</v>
      </c>
      <c r="AF997" s="34" t="s">
        <v>274</v>
      </c>
      <c r="AG997" s="34">
        <v>2022</v>
      </c>
      <c r="AH997" s="35">
        <v>2022</v>
      </c>
      <c r="AT997" s="20" t="e">
        <f t="shared" si="229"/>
        <v>#N/A</v>
      </c>
      <c r="BZ997" s="71"/>
    </row>
    <row r="998" spans="1:78" ht="61.5" x14ac:dyDescent="0.85">
      <c r="A998" s="20">
        <v>1</v>
      </c>
      <c r="B998" s="66">
        <f>SUBTOTAL(103,$A$963:A998)</f>
        <v>36</v>
      </c>
      <c r="C998" s="24" t="s">
        <v>610</v>
      </c>
      <c r="D998" s="31">
        <f t="shared" si="227"/>
        <v>2571262.73</v>
      </c>
      <c r="E998" s="31">
        <v>0</v>
      </c>
      <c r="F998" s="31">
        <v>0</v>
      </c>
      <c r="G998" s="31">
        <v>0</v>
      </c>
      <c r="H998" s="31">
        <v>0</v>
      </c>
      <c r="I998" s="31">
        <v>0</v>
      </c>
      <c r="J998" s="31">
        <v>0</v>
      </c>
      <c r="K998" s="33">
        <v>0</v>
      </c>
      <c r="L998" s="31">
        <v>0</v>
      </c>
      <c r="M998" s="31">
        <v>562</v>
      </c>
      <c r="N998" s="31">
        <v>2533263.77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0</v>
      </c>
      <c r="U998" s="31">
        <v>0</v>
      </c>
      <c r="V998" s="31">
        <v>0</v>
      </c>
      <c r="W998" s="31">
        <v>0</v>
      </c>
      <c r="X998" s="31">
        <v>0</v>
      </c>
      <c r="Y998" s="31">
        <v>0</v>
      </c>
      <c r="Z998" s="31">
        <v>0</v>
      </c>
      <c r="AA998" s="31">
        <v>0</v>
      </c>
      <c r="AB998" s="31">
        <v>0</v>
      </c>
      <c r="AC998" s="31">
        <v>37998.959999999999</v>
      </c>
      <c r="AD998" s="31">
        <v>0</v>
      </c>
      <c r="AE998" s="31">
        <v>0</v>
      </c>
      <c r="AF998" s="34" t="s">
        <v>274</v>
      </c>
      <c r="AG998" s="34">
        <v>2022</v>
      </c>
      <c r="AH998" s="35">
        <v>2022</v>
      </c>
      <c r="AT998" s="20" t="e">
        <f t="shared" si="229"/>
        <v>#N/A</v>
      </c>
      <c r="BZ998" s="71"/>
    </row>
    <row r="999" spans="1:78" ht="61.5" x14ac:dyDescent="0.85">
      <c r="A999" s="20">
        <v>1</v>
      </c>
      <c r="B999" s="66">
        <f>SUBTOTAL(103,$A$963:A999)</f>
        <v>37</v>
      </c>
      <c r="C999" s="24" t="s">
        <v>611</v>
      </c>
      <c r="D999" s="31">
        <f t="shared" si="227"/>
        <v>1989100.53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3">
        <v>0</v>
      </c>
      <c r="L999" s="31">
        <v>0</v>
      </c>
      <c r="M999" s="31">
        <v>0</v>
      </c>
      <c r="N999" s="31">
        <v>0</v>
      </c>
      <c r="O999" s="31">
        <v>0</v>
      </c>
      <c r="P999" s="31">
        <v>0</v>
      </c>
      <c r="Q999" s="31">
        <v>400</v>
      </c>
      <c r="R999" s="31">
        <v>1959704.96</v>
      </c>
      <c r="S999" s="31">
        <v>0</v>
      </c>
      <c r="T999" s="31">
        <v>0</v>
      </c>
      <c r="U999" s="31">
        <v>0</v>
      </c>
      <c r="V999" s="31">
        <v>0</v>
      </c>
      <c r="W999" s="31">
        <v>0</v>
      </c>
      <c r="X999" s="31">
        <v>0</v>
      </c>
      <c r="Y999" s="31">
        <v>0</v>
      </c>
      <c r="Z999" s="31">
        <v>0</v>
      </c>
      <c r="AA999" s="31">
        <v>0</v>
      </c>
      <c r="AB999" s="31">
        <v>0</v>
      </c>
      <c r="AC999" s="31">
        <v>29395.57</v>
      </c>
      <c r="AD999" s="31">
        <v>0</v>
      </c>
      <c r="AE999" s="31">
        <v>0</v>
      </c>
      <c r="AF999" s="34" t="s">
        <v>274</v>
      </c>
      <c r="AG999" s="34">
        <v>2022</v>
      </c>
      <c r="AH999" s="35">
        <v>2022</v>
      </c>
      <c r="AT999" s="20" t="e">
        <f t="shared" si="229"/>
        <v>#N/A</v>
      </c>
      <c r="BZ999" s="71"/>
    </row>
    <row r="1000" spans="1:78" ht="61.5" x14ac:dyDescent="0.85">
      <c r="A1000" s="20">
        <v>1</v>
      </c>
      <c r="B1000" s="66">
        <f>SUBTOTAL(103,$A$963:A1000)</f>
        <v>38</v>
      </c>
      <c r="C1000" s="24" t="s">
        <v>612</v>
      </c>
      <c r="D1000" s="31">
        <f t="shared" si="227"/>
        <v>4272967.33</v>
      </c>
      <c r="E1000" s="31">
        <v>0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3">
        <v>0</v>
      </c>
      <c r="L1000" s="31">
        <v>0</v>
      </c>
      <c r="M1000" s="31">
        <v>960</v>
      </c>
      <c r="N1000" s="31">
        <v>4209820.03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1">
        <v>0</v>
      </c>
      <c r="X1000" s="31">
        <v>0</v>
      </c>
      <c r="Y1000" s="31">
        <v>0</v>
      </c>
      <c r="Z1000" s="31">
        <v>0</v>
      </c>
      <c r="AA1000" s="31">
        <v>0</v>
      </c>
      <c r="AB1000" s="31">
        <v>0</v>
      </c>
      <c r="AC1000" s="31">
        <v>63147.3</v>
      </c>
      <c r="AD1000" s="31">
        <v>0</v>
      </c>
      <c r="AE1000" s="31">
        <v>0</v>
      </c>
      <c r="AF1000" s="34" t="s">
        <v>274</v>
      </c>
      <c r="AG1000" s="34">
        <v>2022</v>
      </c>
      <c r="AH1000" s="35">
        <v>2022</v>
      </c>
      <c r="AT1000" s="20" t="e">
        <f t="shared" si="229"/>
        <v>#N/A</v>
      </c>
      <c r="BZ1000" s="71"/>
    </row>
    <row r="1001" spans="1:78" ht="61.5" x14ac:dyDescent="0.85">
      <c r="A1001" s="20">
        <v>1</v>
      </c>
      <c r="B1001" s="66">
        <f>SUBTOTAL(103,$A$963:A1001)</f>
        <v>39</v>
      </c>
      <c r="C1001" s="24" t="s">
        <v>613</v>
      </c>
      <c r="D1001" s="31">
        <f t="shared" si="227"/>
        <v>4272967.33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3">
        <v>0</v>
      </c>
      <c r="L1001" s="31">
        <v>0</v>
      </c>
      <c r="M1001" s="31">
        <v>960</v>
      </c>
      <c r="N1001" s="31">
        <v>4209820.03</v>
      </c>
      <c r="O1001" s="31">
        <v>0</v>
      </c>
      <c r="P1001" s="31">
        <v>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1">
        <v>0</v>
      </c>
      <c r="X1001" s="31">
        <v>0</v>
      </c>
      <c r="Y1001" s="31">
        <v>0</v>
      </c>
      <c r="Z1001" s="31">
        <v>0</v>
      </c>
      <c r="AA1001" s="31">
        <v>0</v>
      </c>
      <c r="AB1001" s="31">
        <v>0</v>
      </c>
      <c r="AC1001" s="31">
        <v>63147.3</v>
      </c>
      <c r="AD1001" s="31">
        <v>0</v>
      </c>
      <c r="AE1001" s="31">
        <v>0</v>
      </c>
      <c r="AF1001" s="34" t="s">
        <v>274</v>
      </c>
      <c r="AG1001" s="34">
        <v>2022</v>
      </c>
      <c r="AH1001" s="35">
        <v>2022</v>
      </c>
      <c r="AT1001" s="20" t="e">
        <f t="shared" si="229"/>
        <v>#N/A</v>
      </c>
      <c r="BZ1001" s="71"/>
    </row>
    <row r="1002" spans="1:78" ht="61.5" x14ac:dyDescent="0.85">
      <c r="A1002" s="20">
        <v>1</v>
      </c>
      <c r="B1002" s="66">
        <f>SUBTOTAL(103,$A$963:A1002)</f>
        <v>40</v>
      </c>
      <c r="C1002" s="24" t="s">
        <v>614</v>
      </c>
      <c r="D1002" s="31">
        <f t="shared" si="227"/>
        <v>1633943.5899999999</v>
      </c>
      <c r="E1002" s="31">
        <v>0</v>
      </c>
      <c r="F1002" s="31">
        <v>0</v>
      </c>
      <c r="G1002" s="31">
        <v>0</v>
      </c>
      <c r="H1002" s="31">
        <v>0</v>
      </c>
      <c r="I1002" s="31">
        <v>0</v>
      </c>
      <c r="J1002" s="31">
        <v>0</v>
      </c>
      <c r="K1002" s="33">
        <v>0</v>
      </c>
      <c r="L1002" s="31">
        <v>0</v>
      </c>
      <c r="M1002" s="31">
        <v>364.8</v>
      </c>
      <c r="N1002" s="31">
        <v>1609796.64</v>
      </c>
      <c r="O1002" s="31">
        <v>0</v>
      </c>
      <c r="P1002" s="31">
        <v>0</v>
      </c>
      <c r="Q1002" s="31">
        <v>0</v>
      </c>
      <c r="R1002" s="31">
        <v>0</v>
      </c>
      <c r="S1002" s="31">
        <v>0</v>
      </c>
      <c r="T1002" s="31">
        <v>0</v>
      </c>
      <c r="U1002" s="31">
        <v>0</v>
      </c>
      <c r="V1002" s="31">
        <v>0</v>
      </c>
      <c r="W1002" s="31">
        <v>0</v>
      </c>
      <c r="X1002" s="31">
        <v>0</v>
      </c>
      <c r="Y1002" s="31">
        <v>0</v>
      </c>
      <c r="Z1002" s="31">
        <v>0</v>
      </c>
      <c r="AA1002" s="31">
        <v>0</v>
      </c>
      <c r="AB1002" s="31">
        <v>0</v>
      </c>
      <c r="AC1002" s="31">
        <v>24146.95</v>
      </c>
      <c r="AD1002" s="31">
        <v>0</v>
      </c>
      <c r="AE1002" s="31">
        <v>0</v>
      </c>
      <c r="AF1002" s="34" t="s">
        <v>274</v>
      </c>
      <c r="AG1002" s="34">
        <v>2022</v>
      </c>
      <c r="AH1002" s="35">
        <v>2022</v>
      </c>
      <c r="AT1002" s="20" t="e">
        <f t="shared" si="229"/>
        <v>#N/A</v>
      </c>
      <c r="BZ1002" s="71"/>
    </row>
    <row r="1003" spans="1:78" ht="61.5" x14ac:dyDescent="0.85">
      <c r="A1003" s="20">
        <v>1</v>
      </c>
      <c r="B1003" s="66">
        <f>SUBTOTAL(103,$A$963:A1003)</f>
        <v>41</v>
      </c>
      <c r="C1003" s="24" t="s">
        <v>615</v>
      </c>
      <c r="D1003" s="31">
        <f t="shared" si="227"/>
        <v>4272967.33</v>
      </c>
      <c r="E1003" s="31">
        <v>0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3">
        <v>0</v>
      </c>
      <c r="L1003" s="31">
        <v>0</v>
      </c>
      <c r="M1003" s="31">
        <v>960</v>
      </c>
      <c r="N1003" s="31">
        <v>4209820.03</v>
      </c>
      <c r="O1003" s="31">
        <v>0</v>
      </c>
      <c r="P1003" s="31">
        <v>0</v>
      </c>
      <c r="Q1003" s="31">
        <v>0</v>
      </c>
      <c r="R1003" s="31">
        <v>0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1">
        <v>0</v>
      </c>
      <c r="Y1003" s="31">
        <v>0</v>
      </c>
      <c r="Z1003" s="31">
        <v>0</v>
      </c>
      <c r="AA1003" s="31">
        <v>0</v>
      </c>
      <c r="AB1003" s="31">
        <v>0</v>
      </c>
      <c r="AC1003" s="31">
        <v>63147.3</v>
      </c>
      <c r="AD1003" s="31">
        <v>0</v>
      </c>
      <c r="AE1003" s="31">
        <v>0</v>
      </c>
      <c r="AF1003" s="34" t="s">
        <v>274</v>
      </c>
      <c r="AG1003" s="34">
        <v>2022</v>
      </c>
      <c r="AH1003" s="35">
        <v>2022</v>
      </c>
      <c r="AT1003" s="20" t="e">
        <f t="shared" si="229"/>
        <v>#N/A</v>
      </c>
      <c r="BZ1003" s="71"/>
    </row>
    <row r="1004" spans="1:78" ht="61.5" x14ac:dyDescent="0.85">
      <c r="A1004" s="20">
        <v>1</v>
      </c>
      <c r="B1004" s="66">
        <f>SUBTOTAL(103,$A$963:A1004)</f>
        <v>42</v>
      </c>
      <c r="C1004" s="24" t="s">
        <v>617</v>
      </c>
      <c r="D1004" s="31">
        <f t="shared" si="227"/>
        <v>3064601.1799999997</v>
      </c>
      <c r="E1004" s="31">
        <v>0</v>
      </c>
      <c r="F1004" s="31">
        <v>0</v>
      </c>
      <c r="G1004" s="31">
        <v>0</v>
      </c>
      <c r="H1004" s="31">
        <v>0</v>
      </c>
      <c r="I1004" s="31">
        <v>0</v>
      </c>
      <c r="J1004" s="31">
        <v>0</v>
      </c>
      <c r="K1004" s="33">
        <v>0</v>
      </c>
      <c r="L1004" s="31">
        <v>0</v>
      </c>
      <c r="M1004" s="31">
        <v>670</v>
      </c>
      <c r="N1004" s="31">
        <v>3019311.51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31">
        <v>0</v>
      </c>
      <c r="W1004" s="31">
        <v>0</v>
      </c>
      <c r="X1004" s="31">
        <v>0</v>
      </c>
      <c r="Y1004" s="31">
        <v>0</v>
      </c>
      <c r="Z1004" s="31">
        <v>0</v>
      </c>
      <c r="AA1004" s="31">
        <v>0</v>
      </c>
      <c r="AB1004" s="31">
        <v>0</v>
      </c>
      <c r="AC1004" s="31">
        <v>45289.67</v>
      </c>
      <c r="AD1004" s="31">
        <v>0</v>
      </c>
      <c r="AE1004" s="31">
        <v>0</v>
      </c>
      <c r="AF1004" s="34" t="s">
        <v>274</v>
      </c>
      <c r="AG1004" s="34">
        <v>2022</v>
      </c>
      <c r="AH1004" s="35">
        <v>2022</v>
      </c>
      <c r="AT1004" s="20" t="e">
        <f t="shared" si="229"/>
        <v>#N/A</v>
      </c>
      <c r="BZ1004" s="71"/>
    </row>
    <row r="1005" spans="1:78" ht="61.5" x14ac:dyDescent="0.85">
      <c r="A1005" s="20">
        <v>1</v>
      </c>
      <c r="B1005" s="66">
        <f>SUBTOTAL(103,$A$963:A1005)</f>
        <v>43</v>
      </c>
      <c r="C1005" s="24" t="s">
        <v>618</v>
      </c>
      <c r="D1005" s="31">
        <f t="shared" si="227"/>
        <v>1046986.94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3">
        <v>0</v>
      </c>
      <c r="L1005" s="31">
        <v>0</v>
      </c>
      <c r="M1005" s="31">
        <v>235</v>
      </c>
      <c r="N1005" s="31">
        <v>1031514.23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31">
        <v>0</v>
      </c>
      <c r="W1005" s="31">
        <v>0</v>
      </c>
      <c r="X1005" s="31">
        <v>0</v>
      </c>
      <c r="Y1005" s="31">
        <v>0</v>
      </c>
      <c r="Z1005" s="31">
        <v>0</v>
      </c>
      <c r="AA1005" s="31">
        <v>0</v>
      </c>
      <c r="AB1005" s="31">
        <v>0</v>
      </c>
      <c r="AC1005" s="31">
        <v>15472.71</v>
      </c>
      <c r="AD1005" s="31">
        <v>0</v>
      </c>
      <c r="AE1005" s="31">
        <v>0</v>
      </c>
      <c r="AF1005" s="34" t="s">
        <v>274</v>
      </c>
      <c r="AG1005" s="34">
        <v>2022</v>
      </c>
      <c r="AH1005" s="35">
        <v>2022</v>
      </c>
      <c r="AT1005" s="20" t="e">
        <f t="shared" si="229"/>
        <v>#N/A</v>
      </c>
      <c r="BZ1005" s="71"/>
    </row>
    <row r="1006" spans="1:78" ht="61.5" x14ac:dyDescent="0.85">
      <c r="A1006" s="20">
        <v>1</v>
      </c>
      <c r="B1006" s="66">
        <f>SUBTOTAL(103,$A$963:A1006)</f>
        <v>44</v>
      </c>
      <c r="C1006" s="24" t="s">
        <v>619</v>
      </c>
      <c r="D1006" s="31">
        <f t="shared" si="227"/>
        <v>3516149.44</v>
      </c>
      <c r="E1006" s="31">
        <v>0</v>
      </c>
      <c r="F1006" s="31">
        <v>0</v>
      </c>
      <c r="G1006" s="31">
        <v>0</v>
      </c>
      <c r="H1006" s="31">
        <v>0</v>
      </c>
      <c r="I1006" s="31">
        <v>0</v>
      </c>
      <c r="J1006" s="31">
        <v>0</v>
      </c>
      <c r="K1006" s="33">
        <v>0</v>
      </c>
      <c r="L1006" s="31">
        <v>0</v>
      </c>
      <c r="M1006" s="31">
        <v>765</v>
      </c>
      <c r="N1006" s="31">
        <v>3464186.64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1">
        <v>0</v>
      </c>
      <c r="X1006" s="31">
        <v>0</v>
      </c>
      <c r="Y1006" s="31">
        <v>0</v>
      </c>
      <c r="Z1006" s="31">
        <v>0</v>
      </c>
      <c r="AA1006" s="31">
        <v>0</v>
      </c>
      <c r="AB1006" s="31">
        <v>0</v>
      </c>
      <c r="AC1006" s="31">
        <v>51962.8</v>
      </c>
      <c r="AD1006" s="31">
        <v>0</v>
      </c>
      <c r="AE1006" s="31">
        <v>0</v>
      </c>
      <c r="AF1006" s="34" t="s">
        <v>274</v>
      </c>
      <c r="AG1006" s="34">
        <v>2022</v>
      </c>
      <c r="AH1006" s="35">
        <v>2022</v>
      </c>
      <c r="AT1006" s="20" t="e">
        <f t="shared" si="229"/>
        <v>#N/A</v>
      </c>
      <c r="BZ1006" s="71"/>
    </row>
    <row r="1007" spans="1:78" ht="61.5" x14ac:dyDescent="0.85">
      <c r="A1007" s="20">
        <v>1</v>
      </c>
      <c r="B1007" s="66">
        <f>SUBTOTAL(103,$A$963:A1007)</f>
        <v>45</v>
      </c>
      <c r="C1007" s="24" t="s">
        <v>620</v>
      </c>
      <c r="D1007" s="31">
        <f t="shared" si="227"/>
        <v>3493334.35</v>
      </c>
      <c r="E1007" s="31">
        <v>0</v>
      </c>
      <c r="F1007" s="31">
        <v>0</v>
      </c>
      <c r="G1007" s="31">
        <v>0</v>
      </c>
      <c r="H1007" s="31">
        <v>0</v>
      </c>
      <c r="I1007" s="31">
        <v>0</v>
      </c>
      <c r="J1007" s="31">
        <v>0</v>
      </c>
      <c r="K1007" s="33">
        <v>0</v>
      </c>
      <c r="L1007" s="31">
        <v>0</v>
      </c>
      <c r="M1007" s="31">
        <v>760.2</v>
      </c>
      <c r="N1007" s="31">
        <v>3441708.72</v>
      </c>
      <c r="O1007" s="31">
        <v>0</v>
      </c>
      <c r="P1007" s="31">
        <v>0</v>
      </c>
      <c r="Q1007" s="31">
        <v>0</v>
      </c>
      <c r="R1007" s="31">
        <v>0</v>
      </c>
      <c r="S1007" s="31">
        <v>0</v>
      </c>
      <c r="T1007" s="31">
        <v>0</v>
      </c>
      <c r="U1007" s="31">
        <v>0</v>
      </c>
      <c r="V1007" s="31">
        <v>0</v>
      </c>
      <c r="W1007" s="31">
        <v>0</v>
      </c>
      <c r="X1007" s="31">
        <v>0</v>
      </c>
      <c r="Y1007" s="31">
        <v>0</v>
      </c>
      <c r="Z1007" s="31">
        <v>0</v>
      </c>
      <c r="AA1007" s="31">
        <v>0</v>
      </c>
      <c r="AB1007" s="31">
        <v>0</v>
      </c>
      <c r="AC1007" s="31">
        <v>51625.63</v>
      </c>
      <c r="AD1007" s="31">
        <v>0</v>
      </c>
      <c r="AE1007" s="31">
        <v>0</v>
      </c>
      <c r="AF1007" s="34" t="s">
        <v>274</v>
      </c>
      <c r="AG1007" s="34">
        <v>2022</v>
      </c>
      <c r="AH1007" s="35">
        <v>2022</v>
      </c>
      <c r="AT1007" s="20" t="e">
        <f t="shared" si="229"/>
        <v>#N/A</v>
      </c>
      <c r="BZ1007" s="71"/>
    </row>
    <row r="1008" spans="1:78" ht="61.5" x14ac:dyDescent="0.85">
      <c r="A1008" s="20">
        <v>1</v>
      </c>
      <c r="B1008" s="66">
        <f>SUBTOTAL(103,$A$963:A1008)</f>
        <v>46</v>
      </c>
      <c r="C1008" s="24" t="s">
        <v>1409</v>
      </c>
      <c r="D1008" s="31">
        <f t="shared" si="227"/>
        <v>7840331.7599999998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33">
        <v>0</v>
      </c>
      <c r="L1008" s="31">
        <v>0</v>
      </c>
      <c r="M1008" s="31">
        <v>2314</v>
      </c>
      <c r="N1008" s="31">
        <v>7724464.79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0</v>
      </c>
      <c r="Y1008" s="31">
        <v>0</v>
      </c>
      <c r="Z1008" s="31">
        <v>0</v>
      </c>
      <c r="AA1008" s="31">
        <v>0</v>
      </c>
      <c r="AB1008" s="31">
        <v>0</v>
      </c>
      <c r="AC1008" s="31">
        <v>115866.97</v>
      </c>
      <c r="AD1008" s="31">
        <v>0</v>
      </c>
      <c r="AE1008" s="31">
        <v>0</v>
      </c>
      <c r="AF1008" s="34" t="s">
        <v>274</v>
      </c>
      <c r="AG1008" s="34">
        <v>2022</v>
      </c>
      <c r="AH1008" s="35">
        <v>2022</v>
      </c>
      <c r="BZ1008" s="71"/>
    </row>
    <row r="1009" spans="1:80" ht="61.5" x14ac:dyDescent="0.85">
      <c r="A1009" s="20">
        <v>1</v>
      </c>
      <c r="B1009" s="66">
        <f>SUBTOTAL(103,$A$963:A1009)</f>
        <v>47</v>
      </c>
      <c r="C1009" s="24" t="s">
        <v>1681</v>
      </c>
      <c r="D1009" s="31">
        <f t="shared" si="227"/>
        <v>5836250</v>
      </c>
      <c r="E1009" s="31">
        <v>0</v>
      </c>
      <c r="F1009" s="31">
        <v>0</v>
      </c>
      <c r="G1009" s="31">
        <v>0</v>
      </c>
      <c r="H1009" s="31">
        <v>0</v>
      </c>
      <c r="I1009" s="31">
        <v>0</v>
      </c>
      <c r="J1009" s="31">
        <v>0</v>
      </c>
      <c r="K1009" s="33">
        <v>0</v>
      </c>
      <c r="L1009" s="31">
        <v>0</v>
      </c>
      <c r="M1009" s="31">
        <v>1196</v>
      </c>
      <c r="N1009" s="31">
        <v>5750000</v>
      </c>
      <c r="O1009" s="31">
        <v>0</v>
      </c>
      <c r="P1009" s="31">
        <v>0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0</v>
      </c>
      <c r="AA1009" s="31">
        <v>0</v>
      </c>
      <c r="AB1009" s="31">
        <v>0</v>
      </c>
      <c r="AC1009" s="31">
        <v>86250</v>
      </c>
      <c r="AD1009" s="31">
        <v>0</v>
      </c>
      <c r="AE1009" s="31">
        <v>0</v>
      </c>
      <c r="AF1009" s="34" t="s">
        <v>274</v>
      </c>
      <c r="AG1009" s="34">
        <v>2022</v>
      </c>
      <c r="AH1009" s="35">
        <v>2022</v>
      </c>
      <c r="BZ1009" s="71"/>
    </row>
    <row r="1010" spans="1:80" ht="61.5" x14ac:dyDescent="0.85">
      <c r="A1010" s="20">
        <v>1</v>
      </c>
      <c r="B1010" s="66">
        <f>SUBTOTAL(103,$A$963:A1010)</f>
        <v>48</v>
      </c>
      <c r="C1010" s="24" t="s">
        <v>1682</v>
      </c>
      <c r="D1010" s="31">
        <f t="shared" si="227"/>
        <v>2840502.02</v>
      </c>
      <c r="E1010" s="31">
        <v>0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33">
        <v>0</v>
      </c>
      <c r="L1010" s="31">
        <v>0</v>
      </c>
      <c r="M1010" s="31">
        <v>587</v>
      </c>
      <c r="N1010" s="31">
        <v>2798524.16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31">
        <v>0</v>
      </c>
      <c r="AB1010" s="31">
        <v>0</v>
      </c>
      <c r="AC1010" s="31">
        <v>41977.86</v>
      </c>
      <c r="AD1010" s="31">
        <v>0</v>
      </c>
      <c r="AE1010" s="31">
        <v>0</v>
      </c>
      <c r="AF1010" s="34" t="s">
        <v>274</v>
      </c>
      <c r="AG1010" s="34">
        <v>2022</v>
      </c>
      <c r="AH1010" s="35">
        <v>2022</v>
      </c>
      <c r="BZ1010" s="71"/>
    </row>
    <row r="1011" spans="1:80" ht="61.5" x14ac:dyDescent="0.85">
      <c r="A1011" s="20">
        <v>1</v>
      </c>
      <c r="B1011" s="66">
        <f>SUBTOTAL(103,$A$963:A1011)</f>
        <v>49</v>
      </c>
      <c r="C1011" s="24" t="s">
        <v>622</v>
      </c>
      <c r="D1011" s="31">
        <f t="shared" si="227"/>
        <v>4404985.5199999996</v>
      </c>
      <c r="E1011" s="31">
        <v>0</v>
      </c>
      <c r="F1011" s="31">
        <v>0</v>
      </c>
      <c r="G1011" s="31">
        <v>0</v>
      </c>
      <c r="H1011" s="31">
        <v>0</v>
      </c>
      <c r="I1011" s="31">
        <v>0</v>
      </c>
      <c r="J1011" s="31">
        <v>0</v>
      </c>
      <c r="K1011" s="33">
        <v>0</v>
      </c>
      <c r="L1011" s="31">
        <v>0</v>
      </c>
      <c r="M1011" s="31">
        <v>952</v>
      </c>
      <c r="N1011" s="31">
        <v>4339887.21</v>
      </c>
      <c r="O1011" s="31">
        <v>0</v>
      </c>
      <c r="P1011" s="31">
        <v>0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0</v>
      </c>
      <c r="Y1011" s="31">
        <v>0</v>
      </c>
      <c r="Z1011" s="31">
        <v>0</v>
      </c>
      <c r="AA1011" s="31">
        <v>0</v>
      </c>
      <c r="AB1011" s="31">
        <v>0</v>
      </c>
      <c r="AC1011" s="31">
        <v>65098.31</v>
      </c>
      <c r="AD1011" s="31">
        <v>0</v>
      </c>
      <c r="AE1011" s="31">
        <v>0</v>
      </c>
      <c r="AF1011" s="34" t="s">
        <v>274</v>
      </c>
      <c r="AG1011" s="34">
        <v>2022</v>
      </c>
      <c r="AH1011" s="35">
        <v>2022</v>
      </c>
      <c r="AT1011" s="20" t="e">
        <f>VLOOKUP(C1011,AW:AX,2,FALSE)</f>
        <v>#N/A</v>
      </c>
      <c r="BZ1011" s="71"/>
    </row>
    <row r="1012" spans="1:80" ht="61.5" x14ac:dyDescent="0.85">
      <c r="A1012" s="20">
        <v>1</v>
      </c>
      <c r="B1012" s="66">
        <f>SUBTOTAL(103,$A$963:A1012)</f>
        <v>50</v>
      </c>
      <c r="C1012" s="24" t="s">
        <v>1664</v>
      </c>
      <c r="D1012" s="31">
        <f t="shared" si="227"/>
        <v>7371186.2199999997</v>
      </c>
      <c r="E1012" s="31">
        <v>0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33">
        <v>0</v>
      </c>
      <c r="L1012" s="31">
        <v>0</v>
      </c>
      <c r="M1012" s="31">
        <v>1626.8</v>
      </c>
      <c r="N1012" s="31">
        <v>7262252.4299999997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1">
        <v>0</v>
      </c>
      <c r="AB1012" s="31">
        <v>0</v>
      </c>
      <c r="AC1012" s="31">
        <v>108933.79</v>
      </c>
      <c r="AD1012" s="31">
        <v>0</v>
      </c>
      <c r="AE1012" s="31">
        <v>0</v>
      </c>
      <c r="AF1012" s="34" t="s">
        <v>274</v>
      </c>
      <c r="AG1012" s="34">
        <v>2022</v>
      </c>
      <c r="AH1012" s="35">
        <v>2022</v>
      </c>
      <c r="BZ1012" s="71"/>
    </row>
    <row r="1013" spans="1:80" ht="61.5" x14ac:dyDescent="0.85">
      <c r="A1013" s="20">
        <v>1</v>
      </c>
      <c r="B1013" s="66">
        <f>SUBTOTAL(103,$A$963:A1013)</f>
        <v>51</v>
      </c>
      <c r="C1013" s="24" t="s">
        <v>623</v>
      </c>
      <c r="D1013" s="31">
        <f t="shared" si="227"/>
        <v>3550462.6100000003</v>
      </c>
      <c r="E1013" s="31">
        <v>0</v>
      </c>
      <c r="F1013" s="31">
        <v>0</v>
      </c>
      <c r="G1013" s="31">
        <v>0</v>
      </c>
      <c r="H1013" s="31">
        <v>0</v>
      </c>
      <c r="I1013" s="31">
        <v>0</v>
      </c>
      <c r="J1013" s="31">
        <v>0</v>
      </c>
      <c r="K1013" s="33">
        <v>0</v>
      </c>
      <c r="L1013" s="31">
        <v>0</v>
      </c>
      <c r="M1013" s="31">
        <v>807.01</v>
      </c>
      <c r="N1013" s="31">
        <v>3497992.72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0</v>
      </c>
      <c r="V1013" s="31">
        <v>0</v>
      </c>
      <c r="W1013" s="31">
        <v>0</v>
      </c>
      <c r="X1013" s="31">
        <v>0</v>
      </c>
      <c r="Y1013" s="31">
        <v>0</v>
      </c>
      <c r="Z1013" s="31">
        <v>0</v>
      </c>
      <c r="AA1013" s="31">
        <v>0</v>
      </c>
      <c r="AB1013" s="31">
        <v>0</v>
      </c>
      <c r="AC1013" s="31">
        <v>52469.89</v>
      </c>
      <c r="AD1013" s="31">
        <v>0</v>
      </c>
      <c r="AE1013" s="31">
        <v>0</v>
      </c>
      <c r="AF1013" s="34" t="s">
        <v>274</v>
      </c>
      <c r="AG1013" s="34">
        <v>2022</v>
      </c>
      <c r="AH1013" s="35">
        <v>2022</v>
      </c>
      <c r="AT1013" s="20" t="e">
        <f t="shared" ref="AT1013:AT1034" si="230">VLOOKUP(C1013,AW:AX,2,FALSE)</f>
        <v>#N/A</v>
      </c>
      <c r="BZ1013" s="71"/>
    </row>
    <row r="1014" spans="1:80" ht="61.5" x14ac:dyDescent="0.85">
      <c r="A1014" s="20">
        <v>1</v>
      </c>
      <c r="B1014" s="66">
        <f>SUBTOTAL(103,$A$963:A1014)</f>
        <v>52</v>
      </c>
      <c r="C1014" s="24" t="s">
        <v>624</v>
      </c>
      <c r="D1014" s="31">
        <f t="shared" si="227"/>
        <v>4265711.66</v>
      </c>
      <c r="E1014" s="31">
        <v>0</v>
      </c>
      <c r="F1014" s="31">
        <v>0</v>
      </c>
      <c r="G1014" s="31">
        <v>0</v>
      </c>
      <c r="H1014" s="31">
        <v>0</v>
      </c>
      <c r="I1014" s="31">
        <v>0</v>
      </c>
      <c r="J1014" s="31">
        <v>0</v>
      </c>
      <c r="K1014" s="33">
        <v>0</v>
      </c>
      <c r="L1014" s="31">
        <v>0</v>
      </c>
      <c r="M1014" s="31">
        <v>975</v>
      </c>
      <c r="N1014" s="31">
        <v>4202671.59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0</v>
      </c>
      <c r="AA1014" s="31">
        <v>0</v>
      </c>
      <c r="AB1014" s="31">
        <v>0</v>
      </c>
      <c r="AC1014" s="31">
        <v>63040.07</v>
      </c>
      <c r="AD1014" s="31">
        <v>0</v>
      </c>
      <c r="AE1014" s="31">
        <v>0</v>
      </c>
      <c r="AF1014" s="34" t="s">
        <v>274</v>
      </c>
      <c r="AG1014" s="34">
        <v>2022</v>
      </c>
      <c r="AH1014" s="35">
        <v>2022</v>
      </c>
      <c r="AT1014" s="20" t="e">
        <f t="shared" si="230"/>
        <v>#N/A</v>
      </c>
      <c r="BZ1014" s="71"/>
    </row>
    <row r="1015" spans="1:80" ht="61.5" x14ac:dyDescent="0.85">
      <c r="A1015" s="20">
        <v>1</v>
      </c>
      <c r="B1015" s="66">
        <f>SUBTOTAL(103,$A$963:A1015)</f>
        <v>53</v>
      </c>
      <c r="C1015" s="24" t="s">
        <v>625</v>
      </c>
      <c r="D1015" s="31">
        <f t="shared" si="227"/>
        <v>3545858.66</v>
      </c>
      <c r="E1015" s="31">
        <v>0</v>
      </c>
      <c r="F1015" s="31">
        <v>0</v>
      </c>
      <c r="G1015" s="31">
        <v>0</v>
      </c>
      <c r="H1015" s="31">
        <v>0</v>
      </c>
      <c r="I1015" s="31">
        <v>0</v>
      </c>
      <c r="J1015" s="31">
        <v>0</v>
      </c>
      <c r="K1015" s="33">
        <v>0</v>
      </c>
      <c r="L1015" s="31">
        <v>0</v>
      </c>
      <c r="M1015" s="31">
        <v>771.25</v>
      </c>
      <c r="N1015" s="31">
        <v>3493456.81</v>
      </c>
      <c r="O1015" s="31">
        <v>0</v>
      </c>
      <c r="P1015" s="31">
        <v>0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1">
        <v>0</v>
      </c>
      <c r="Y1015" s="31">
        <v>0</v>
      </c>
      <c r="Z1015" s="31">
        <v>0</v>
      </c>
      <c r="AA1015" s="31">
        <v>0</v>
      </c>
      <c r="AB1015" s="31">
        <v>0</v>
      </c>
      <c r="AC1015" s="31">
        <v>52401.85</v>
      </c>
      <c r="AD1015" s="31">
        <v>0</v>
      </c>
      <c r="AE1015" s="31">
        <v>0</v>
      </c>
      <c r="AF1015" s="34" t="s">
        <v>274</v>
      </c>
      <c r="AG1015" s="34">
        <v>2022</v>
      </c>
      <c r="AH1015" s="35">
        <v>2022</v>
      </c>
      <c r="AT1015" s="20" t="e">
        <f t="shared" si="230"/>
        <v>#N/A</v>
      </c>
      <c r="BZ1015" s="71"/>
    </row>
    <row r="1016" spans="1:80" ht="61.5" x14ac:dyDescent="0.85">
      <c r="A1016" s="20">
        <v>1</v>
      </c>
      <c r="B1016" s="66">
        <f>SUBTOTAL(103,$A$963:A1016)</f>
        <v>54</v>
      </c>
      <c r="C1016" s="24" t="s">
        <v>626</v>
      </c>
      <c r="D1016" s="31">
        <f t="shared" si="227"/>
        <v>4460834.87</v>
      </c>
      <c r="E1016" s="31">
        <v>0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33">
        <v>0</v>
      </c>
      <c r="L1016" s="31">
        <v>0</v>
      </c>
      <c r="M1016" s="31">
        <v>963.75</v>
      </c>
      <c r="N1016" s="31">
        <v>4394911.2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1">
        <v>0</v>
      </c>
      <c r="X1016" s="31">
        <v>0</v>
      </c>
      <c r="Y1016" s="31">
        <v>0</v>
      </c>
      <c r="Z1016" s="31">
        <v>0</v>
      </c>
      <c r="AA1016" s="31">
        <v>0</v>
      </c>
      <c r="AB1016" s="31">
        <v>0</v>
      </c>
      <c r="AC1016" s="31">
        <v>65923.67</v>
      </c>
      <c r="AD1016" s="31">
        <v>0</v>
      </c>
      <c r="AE1016" s="31">
        <v>0</v>
      </c>
      <c r="AF1016" s="34" t="s">
        <v>274</v>
      </c>
      <c r="AG1016" s="34">
        <v>2022</v>
      </c>
      <c r="AH1016" s="35">
        <v>2022</v>
      </c>
      <c r="AT1016" s="20" t="e">
        <f t="shared" si="230"/>
        <v>#N/A</v>
      </c>
      <c r="BZ1016" s="71"/>
    </row>
    <row r="1017" spans="1:80" ht="61.5" x14ac:dyDescent="0.85">
      <c r="A1017" s="20">
        <v>1</v>
      </c>
      <c r="B1017" s="66">
        <f>SUBTOTAL(103,$A$963:A1017)</f>
        <v>55</v>
      </c>
      <c r="C1017" s="24" t="s">
        <v>507</v>
      </c>
      <c r="D1017" s="31">
        <f t="shared" ref="D1017:D1018" si="231">E1017+F1017+G1017+H1017+I1017+J1017+L1017+N1017+P1017+R1017+T1017+U1017+V1017+W1017+X1017+Y1017+Z1017+AA1017+AB1017+AC1017+AD1017+AE1017</f>
        <v>2100000</v>
      </c>
      <c r="E1017" s="31">
        <v>0</v>
      </c>
      <c r="F1017" s="31">
        <v>0</v>
      </c>
      <c r="G1017" s="31">
        <v>0</v>
      </c>
      <c r="H1017" s="31">
        <v>0</v>
      </c>
      <c r="I1017" s="31">
        <v>0</v>
      </c>
      <c r="J1017" s="31">
        <v>0</v>
      </c>
      <c r="K1017" s="33">
        <v>1</v>
      </c>
      <c r="L1017" s="31">
        <v>2100000</v>
      </c>
      <c r="M1017" s="31">
        <v>0</v>
      </c>
      <c r="N1017" s="31">
        <v>0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0</v>
      </c>
      <c r="AA1017" s="31">
        <v>0</v>
      </c>
      <c r="AB1017" s="31">
        <v>0</v>
      </c>
      <c r="AC1017" s="31">
        <v>0</v>
      </c>
      <c r="AD1017" s="31">
        <v>0</v>
      </c>
      <c r="AE1017" s="31">
        <v>0</v>
      </c>
      <c r="AF1017" s="34" t="s">
        <v>274</v>
      </c>
      <c r="AG1017" s="34">
        <v>2022</v>
      </c>
      <c r="AH1017" s="35" t="s">
        <v>274</v>
      </c>
      <c r="AT1017" s="20" t="e">
        <f t="shared" si="230"/>
        <v>#N/A</v>
      </c>
      <c r="BZ1017" s="71"/>
    </row>
    <row r="1018" spans="1:80" ht="61.5" x14ac:dyDescent="0.85">
      <c r="A1018" s="20">
        <v>1</v>
      </c>
      <c r="B1018" s="66">
        <f>SUBTOTAL(103,$A$963:A1018)</f>
        <v>56</v>
      </c>
      <c r="C1018" s="24" t="s">
        <v>1095</v>
      </c>
      <c r="D1018" s="31">
        <f t="shared" si="231"/>
        <v>6300000</v>
      </c>
      <c r="E1018" s="31">
        <v>0</v>
      </c>
      <c r="F1018" s="31">
        <v>0</v>
      </c>
      <c r="G1018" s="31">
        <v>0</v>
      </c>
      <c r="H1018" s="31">
        <v>0</v>
      </c>
      <c r="I1018" s="31">
        <v>0</v>
      </c>
      <c r="J1018" s="31">
        <v>0</v>
      </c>
      <c r="K1018" s="33">
        <v>3</v>
      </c>
      <c r="L1018" s="31">
        <v>6300000</v>
      </c>
      <c r="M1018" s="31">
        <v>0</v>
      </c>
      <c r="N1018" s="31">
        <v>0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31">
        <v>0</v>
      </c>
      <c r="AB1018" s="31">
        <v>0</v>
      </c>
      <c r="AC1018" s="31">
        <v>0</v>
      </c>
      <c r="AD1018" s="31">
        <v>0</v>
      </c>
      <c r="AE1018" s="31">
        <v>0</v>
      </c>
      <c r="AF1018" s="34" t="s">
        <v>274</v>
      </c>
      <c r="AG1018" s="34">
        <v>2022</v>
      </c>
      <c r="AH1018" s="35" t="s">
        <v>274</v>
      </c>
      <c r="AT1018" s="20" t="e">
        <f t="shared" si="230"/>
        <v>#N/A</v>
      </c>
      <c r="BZ1018" s="71"/>
    </row>
    <row r="1019" spans="1:80" s="155" customFormat="1" ht="61.5" x14ac:dyDescent="0.85">
      <c r="A1019" s="155">
        <v>1</v>
      </c>
      <c r="B1019" s="66">
        <f>SUBTOTAL(103,$A$963:A1019)</f>
        <v>57</v>
      </c>
      <c r="C1019" s="24" t="s">
        <v>1734</v>
      </c>
      <c r="D1019" s="31">
        <f t="shared" si="227"/>
        <v>5062636.5</v>
      </c>
      <c r="E1019" s="31">
        <v>0</v>
      </c>
      <c r="F1019" s="31">
        <v>0</v>
      </c>
      <c r="G1019" s="31">
        <v>0</v>
      </c>
      <c r="H1019" s="31">
        <v>0</v>
      </c>
      <c r="I1019" s="31">
        <v>0</v>
      </c>
      <c r="J1019" s="31">
        <v>0</v>
      </c>
      <c r="K1019" s="33">
        <v>0</v>
      </c>
      <c r="L1019" s="31">
        <v>0</v>
      </c>
      <c r="M1019" s="31">
        <v>1234</v>
      </c>
      <c r="N1019" s="31">
        <v>4987819.21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1">
        <v>0</v>
      </c>
      <c r="AB1019" s="31">
        <v>0</v>
      </c>
      <c r="AC1019" s="31">
        <v>74817.289999999994</v>
      </c>
      <c r="AD1019" s="31">
        <v>0</v>
      </c>
      <c r="AE1019" s="31">
        <v>0</v>
      </c>
      <c r="AF1019" s="34" t="s">
        <v>274</v>
      </c>
      <c r="AG1019" s="34">
        <v>2022</v>
      </c>
      <c r="AH1019" s="35">
        <v>2022</v>
      </c>
      <c r="AI1019" s="20"/>
      <c r="AJ1019" s="20"/>
      <c r="AK1019" s="20"/>
      <c r="AL1019" s="20"/>
      <c r="AT1019" s="155" t="e">
        <f t="shared" si="230"/>
        <v>#N/A</v>
      </c>
      <c r="BZ1019" s="156"/>
    </row>
    <row r="1020" spans="1:80" s="155" customFormat="1" ht="61.5" x14ac:dyDescent="0.85">
      <c r="A1020" s="155">
        <v>1</v>
      </c>
      <c r="B1020" s="66">
        <f>SUBTOTAL(103,$A$963:A1020)</f>
        <v>58</v>
      </c>
      <c r="C1020" s="24" t="s">
        <v>1735</v>
      </c>
      <c r="D1020" s="31">
        <f t="shared" si="227"/>
        <v>4800259.8</v>
      </c>
      <c r="E1020" s="31">
        <v>0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33">
        <v>0</v>
      </c>
      <c r="L1020" s="31">
        <v>0</v>
      </c>
      <c r="M1020" s="31">
        <v>1200</v>
      </c>
      <c r="N1020" s="31">
        <v>4729320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  <c r="V1020" s="31">
        <v>0</v>
      </c>
      <c r="W1020" s="31">
        <v>0</v>
      </c>
      <c r="X1020" s="31">
        <v>0</v>
      </c>
      <c r="Y1020" s="31">
        <v>0</v>
      </c>
      <c r="Z1020" s="31">
        <v>0</v>
      </c>
      <c r="AA1020" s="31">
        <v>0</v>
      </c>
      <c r="AB1020" s="31">
        <v>0</v>
      </c>
      <c r="AC1020" s="31">
        <v>70939.8</v>
      </c>
      <c r="AD1020" s="31">
        <v>0</v>
      </c>
      <c r="AE1020" s="31">
        <v>0</v>
      </c>
      <c r="AF1020" s="34" t="s">
        <v>274</v>
      </c>
      <c r="AG1020" s="34">
        <v>2022</v>
      </c>
      <c r="AH1020" s="35">
        <v>2022</v>
      </c>
      <c r="AI1020" s="20"/>
      <c r="AJ1020" s="20"/>
      <c r="AK1020" s="20"/>
      <c r="AL1020" s="20"/>
      <c r="AT1020" s="155" t="e">
        <f t="shared" si="230"/>
        <v>#N/A</v>
      </c>
      <c r="BZ1020" s="156"/>
    </row>
    <row r="1021" spans="1:80" ht="61.5" x14ac:dyDescent="0.85">
      <c r="B1021" s="24" t="s">
        <v>781</v>
      </c>
      <c r="C1021" s="129"/>
      <c r="D1021" s="31">
        <f>SUM(D1022:D1035)</f>
        <v>44764760.649999999</v>
      </c>
      <c r="E1021" s="31">
        <f t="shared" ref="E1021:AE1021" si="232">SUM(E1022:E1035)</f>
        <v>0</v>
      </c>
      <c r="F1021" s="31">
        <f t="shared" si="232"/>
        <v>0</v>
      </c>
      <c r="G1021" s="31">
        <f t="shared" si="232"/>
        <v>0</v>
      </c>
      <c r="H1021" s="31">
        <f t="shared" si="232"/>
        <v>415281.24</v>
      </c>
      <c r="I1021" s="31">
        <f t="shared" si="232"/>
        <v>0</v>
      </c>
      <c r="J1021" s="31">
        <f t="shared" si="232"/>
        <v>0</v>
      </c>
      <c r="K1021" s="33">
        <f t="shared" si="232"/>
        <v>0</v>
      </c>
      <c r="L1021" s="31">
        <f t="shared" si="232"/>
        <v>0</v>
      </c>
      <c r="M1021" s="31">
        <f t="shared" si="232"/>
        <v>7727.4100000000008</v>
      </c>
      <c r="N1021" s="31">
        <f t="shared" si="232"/>
        <v>41638670.140000008</v>
      </c>
      <c r="O1021" s="31">
        <f t="shared" si="232"/>
        <v>0</v>
      </c>
      <c r="P1021" s="31">
        <f t="shared" si="232"/>
        <v>0</v>
      </c>
      <c r="Q1021" s="31">
        <f t="shared" si="232"/>
        <v>0</v>
      </c>
      <c r="R1021" s="31">
        <f t="shared" si="232"/>
        <v>0</v>
      </c>
      <c r="S1021" s="31">
        <f t="shared" si="232"/>
        <v>0</v>
      </c>
      <c r="T1021" s="31">
        <f t="shared" si="232"/>
        <v>0</v>
      </c>
      <c r="U1021" s="31">
        <f t="shared" si="232"/>
        <v>0</v>
      </c>
      <c r="V1021" s="31">
        <f t="shared" si="232"/>
        <v>0</v>
      </c>
      <c r="W1021" s="31">
        <f t="shared" si="232"/>
        <v>0</v>
      </c>
      <c r="X1021" s="31">
        <f t="shared" si="232"/>
        <v>0</v>
      </c>
      <c r="Y1021" s="31">
        <f t="shared" si="232"/>
        <v>0</v>
      </c>
      <c r="Z1021" s="31">
        <f t="shared" si="232"/>
        <v>0</v>
      </c>
      <c r="AA1021" s="31">
        <f t="shared" si="232"/>
        <v>0</v>
      </c>
      <c r="AB1021" s="31">
        <f t="shared" si="232"/>
        <v>0</v>
      </c>
      <c r="AC1021" s="31">
        <f t="shared" si="232"/>
        <v>630809.27</v>
      </c>
      <c r="AD1021" s="31">
        <f t="shared" si="232"/>
        <v>1960000</v>
      </c>
      <c r="AE1021" s="31">
        <f t="shared" si="232"/>
        <v>120000</v>
      </c>
      <c r="AF1021" s="72" t="s">
        <v>776</v>
      </c>
      <c r="AG1021" s="72" t="s">
        <v>776</v>
      </c>
      <c r="AH1021" s="88" t="s">
        <v>776</v>
      </c>
      <c r="AT1021" s="20" t="e">
        <f t="shared" si="230"/>
        <v>#N/A</v>
      </c>
      <c r="BZ1021" s="31">
        <v>45048314.759999998</v>
      </c>
      <c r="CA1021" s="31"/>
      <c r="CB1021" s="31">
        <f>BZ1021-D1021</f>
        <v>283554.1099999994</v>
      </c>
    </row>
    <row r="1022" spans="1:80" ht="61.5" x14ac:dyDescent="0.85">
      <c r="A1022" s="20">
        <v>1</v>
      </c>
      <c r="B1022" s="66">
        <f>SUBTOTAL(103,$A$963:A1022)</f>
        <v>59</v>
      </c>
      <c r="C1022" s="24" t="s">
        <v>477</v>
      </c>
      <c r="D1022" s="31">
        <f t="shared" ref="D1022:D1035" si="233">E1022+F1022+G1022+H1022+I1022+J1022+L1022+N1022+P1022+R1022+T1022+U1022+V1022+W1022+X1022+Y1022+Z1022+AA1022+AB1022+AC1022+AD1022+AE1022</f>
        <v>3951259.39</v>
      </c>
      <c r="E1022" s="32">
        <v>0</v>
      </c>
      <c r="F1022" s="32">
        <v>0</v>
      </c>
      <c r="G1022" s="32">
        <v>0</v>
      </c>
      <c r="H1022" s="32">
        <v>0</v>
      </c>
      <c r="I1022" s="32">
        <v>0</v>
      </c>
      <c r="J1022" s="32">
        <v>0</v>
      </c>
      <c r="K1022" s="84">
        <v>0</v>
      </c>
      <c r="L1022" s="32">
        <v>0</v>
      </c>
      <c r="M1022" s="31">
        <v>648.4</v>
      </c>
      <c r="N1022" s="31">
        <v>3745083.14</v>
      </c>
      <c r="O1022" s="32">
        <v>0</v>
      </c>
      <c r="P1022" s="32">
        <v>0</v>
      </c>
      <c r="Q1022" s="32">
        <v>0</v>
      </c>
      <c r="R1022" s="32">
        <v>0</v>
      </c>
      <c r="S1022" s="32">
        <v>0</v>
      </c>
      <c r="T1022" s="32">
        <v>0</v>
      </c>
      <c r="U1022" s="32">
        <v>0</v>
      </c>
      <c r="V1022" s="32">
        <v>0</v>
      </c>
      <c r="W1022" s="32">
        <v>0</v>
      </c>
      <c r="X1022" s="32">
        <v>0</v>
      </c>
      <c r="Y1022" s="32">
        <v>0</v>
      </c>
      <c r="Z1022" s="32">
        <v>0</v>
      </c>
      <c r="AA1022" s="31">
        <v>0</v>
      </c>
      <c r="AB1022" s="31">
        <v>0</v>
      </c>
      <c r="AC1022" s="31">
        <f>ROUND(N1022*1.5%,2)</f>
        <v>56176.25</v>
      </c>
      <c r="AD1022" s="31">
        <v>150000</v>
      </c>
      <c r="AE1022" s="31">
        <v>0</v>
      </c>
      <c r="AF1022" s="34">
        <v>2022</v>
      </c>
      <c r="AG1022" s="34">
        <v>2022</v>
      </c>
      <c r="AH1022" s="35">
        <v>2022</v>
      </c>
      <c r="AT1022" s="20" t="e">
        <f t="shared" si="230"/>
        <v>#N/A</v>
      </c>
      <c r="BZ1022" s="71"/>
    </row>
    <row r="1023" spans="1:80" ht="61.5" x14ac:dyDescent="0.85">
      <c r="A1023" s="20">
        <v>1</v>
      </c>
      <c r="B1023" s="66">
        <f>SUBTOTAL(103,$A$963:A1023)</f>
        <v>60</v>
      </c>
      <c r="C1023" s="24" t="s">
        <v>478</v>
      </c>
      <c r="D1023" s="31">
        <f t="shared" si="233"/>
        <v>2999201</v>
      </c>
      <c r="E1023" s="32">
        <v>0</v>
      </c>
      <c r="F1023" s="32">
        <v>0</v>
      </c>
      <c r="G1023" s="32">
        <v>0</v>
      </c>
      <c r="H1023" s="32">
        <v>0</v>
      </c>
      <c r="I1023" s="32">
        <v>0</v>
      </c>
      <c r="J1023" s="32">
        <v>0</v>
      </c>
      <c r="K1023" s="84">
        <v>0</v>
      </c>
      <c r="L1023" s="32">
        <v>0</v>
      </c>
      <c r="M1023" s="31">
        <v>547</v>
      </c>
      <c r="N1023" s="31">
        <v>2807094.58</v>
      </c>
      <c r="O1023" s="32">
        <v>0</v>
      </c>
      <c r="P1023" s="32">
        <v>0</v>
      </c>
      <c r="Q1023" s="32">
        <v>0</v>
      </c>
      <c r="R1023" s="32">
        <v>0</v>
      </c>
      <c r="S1023" s="32">
        <v>0</v>
      </c>
      <c r="T1023" s="32">
        <v>0</v>
      </c>
      <c r="U1023" s="32">
        <v>0</v>
      </c>
      <c r="V1023" s="32">
        <v>0</v>
      </c>
      <c r="W1023" s="32">
        <v>0</v>
      </c>
      <c r="X1023" s="32">
        <v>0</v>
      </c>
      <c r="Y1023" s="32">
        <v>0</v>
      </c>
      <c r="Z1023" s="32">
        <v>0</v>
      </c>
      <c r="AA1023" s="31">
        <v>0</v>
      </c>
      <c r="AB1023" s="31">
        <v>0</v>
      </c>
      <c r="AC1023" s="31">
        <f>ROUND(N1023*1.5%,2)</f>
        <v>42106.42</v>
      </c>
      <c r="AD1023" s="31">
        <v>150000</v>
      </c>
      <c r="AE1023" s="31">
        <v>0</v>
      </c>
      <c r="AF1023" s="34">
        <v>2022</v>
      </c>
      <c r="AG1023" s="34">
        <v>2022</v>
      </c>
      <c r="AH1023" s="35">
        <v>2022</v>
      </c>
      <c r="AT1023" s="20" t="e">
        <f t="shared" si="230"/>
        <v>#N/A</v>
      </c>
      <c r="BZ1023" s="71"/>
    </row>
    <row r="1024" spans="1:80" ht="61.5" x14ac:dyDescent="0.85">
      <c r="A1024" s="20">
        <v>1</v>
      </c>
      <c r="B1024" s="66">
        <f>SUBTOTAL(103,$A$963:A1024)</f>
        <v>61</v>
      </c>
      <c r="C1024" s="24" t="s">
        <v>479</v>
      </c>
      <c r="D1024" s="31">
        <f t="shared" si="233"/>
        <v>2584541.12</v>
      </c>
      <c r="E1024" s="32">
        <v>0</v>
      </c>
      <c r="F1024" s="32">
        <v>0</v>
      </c>
      <c r="G1024" s="32">
        <v>0</v>
      </c>
      <c r="H1024" s="32">
        <v>0</v>
      </c>
      <c r="I1024" s="32">
        <v>0</v>
      </c>
      <c r="J1024" s="32">
        <v>0</v>
      </c>
      <c r="K1024" s="84">
        <v>0</v>
      </c>
      <c r="L1024" s="32">
        <v>0</v>
      </c>
      <c r="M1024" s="31">
        <v>493.2</v>
      </c>
      <c r="N1024" s="31">
        <v>2428119.33</v>
      </c>
      <c r="O1024" s="32">
        <v>0</v>
      </c>
      <c r="P1024" s="32">
        <v>0</v>
      </c>
      <c r="Q1024" s="32">
        <v>0</v>
      </c>
      <c r="R1024" s="32">
        <v>0</v>
      </c>
      <c r="S1024" s="32">
        <v>0</v>
      </c>
      <c r="T1024" s="32">
        <v>0</v>
      </c>
      <c r="U1024" s="32">
        <v>0</v>
      </c>
      <c r="V1024" s="32">
        <v>0</v>
      </c>
      <c r="W1024" s="32">
        <v>0</v>
      </c>
      <c r="X1024" s="32">
        <v>0</v>
      </c>
      <c r="Y1024" s="32">
        <v>0</v>
      </c>
      <c r="Z1024" s="32">
        <v>0</v>
      </c>
      <c r="AA1024" s="31">
        <v>0</v>
      </c>
      <c r="AB1024" s="31">
        <v>0</v>
      </c>
      <c r="AC1024" s="31">
        <f>ROUND(N1024*1.5%,2)</f>
        <v>36421.79</v>
      </c>
      <c r="AD1024" s="31">
        <v>120000</v>
      </c>
      <c r="AE1024" s="31">
        <v>0</v>
      </c>
      <c r="AF1024" s="34">
        <v>2022</v>
      </c>
      <c r="AG1024" s="34">
        <v>2022</v>
      </c>
      <c r="AH1024" s="35">
        <v>2022</v>
      </c>
      <c r="AT1024" s="20" t="e">
        <f t="shared" si="230"/>
        <v>#N/A</v>
      </c>
      <c r="BZ1024" s="71"/>
    </row>
    <row r="1025" spans="1:78" ht="61.5" x14ac:dyDescent="0.85">
      <c r="A1025" s="20">
        <v>1</v>
      </c>
      <c r="B1025" s="66">
        <f>SUBTOTAL(103,$A$963:A1025)</f>
        <v>62</v>
      </c>
      <c r="C1025" s="24" t="s">
        <v>480</v>
      </c>
      <c r="D1025" s="31">
        <f t="shared" si="233"/>
        <v>6581549.3999999994</v>
      </c>
      <c r="E1025" s="32">
        <v>0</v>
      </c>
      <c r="F1025" s="32">
        <v>0</v>
      </c>
      <c r="G1025" s="32">
        <v>0</v>
      </c>
      <c r="H1025" s="32">
        <v>0</v>
      </c>
      <c r="I1025" s="32">
        <v>0</v>
      </c>
      <c r="J1025" s="32">
        <v>0</v>
      </c>
      <c r="K1025" s="84">
        <v>0</v>
      </c>
      <c r="L1025" s="32">
        <v>0</v>
      </c>
      <c r="M1025" s="31">
        <v>1130</v>
      </c>
      <c r="N1025" s="31">
        <v>6306945.2199999997</v>
      </c>
      <c r="O1025" s="32">
        <v>0</v>
      </c>
      <c r="P1025" s="32">
        <v>0</v>
      </c>
      <c r="Q1025" s="32">
        <v>0</v>
      </c>
      <c r="R1025" s="32">
        <v>0</v>
      </c>
      <c r="S1025" s="32">
        <v>0</v>
      </c>
      <c r="T1025" s="32">
        <v>0</v>
      </c>
      <c r="U1025" s="32">
        <v>0</v>
      </c>
      <c r="V1025" s="32">
        <v>0</v>
      </c>
      <c r="W1025" s="32">
        <v>0</v>
      </c>
      <c r="X1025" s="32">
        <v>0</v>
      </c>
      <c r="Y1025" s="32">
        <v>0</v>
      </c>
      <c r="Z1025" s="32">
        <v>0</v>
      </c>
      <c r="AA1025" s="31">
        <v>0</v>
      </c>
      <c r="AB1025" s="31">
        <v>0</v>
      </c>
      <c r="AC1025" s="31">
        <f>ROUND(N1025*1.5%,2)</f>
        <v>94604.18</v>
      </c>
      <c r="AD1025" s="31">
        <v>180000</v>
      </c>
      <c r="AE1025" s="31">
        <v>0</v>
      </c>
      <c r="AF1025" s="34">
        <v>2022</v>
      </c>
      <c r="AG1025" s="34">
        <v>2022</v>
      </c>
      <c r="AH1025" s="35">
        <v>2022</v>
      </c>
      <c r="AT1025" s="20" t="e">
        <f t="shared" si="230"/>
        <v>#N/A</v>
      </c>
      <c r="BZ1025" s="71"/>
    </row>
    <row r="1026" spans="1:78" ht="61.5" x14ac:dyDescent="0.85">
      <c r="A1026" s="20">
        <v>1</v>
      </c>
      <c r="B1026" s="66">
        <f>SUBTOTAL(103,$A$963:A1026)</f>
        <v>63</v>
      </c>
      <c r="C1026" s="24" t="s">
        <v>481</v>
      </c>
      <c r="D1026" s="31">
        <f t="shared" si="233"/>
        <v>4737312</v>
      </c>
      <c r="E1026" s="32">
        <v>0</v>
      </c>
      <c r="F1026" s="32">
        <v>0</v>
      </c>
      <c r="G1026" s="32">
        <v>0</v>
      </c>
      <c r="H1026" s="32">
        <v>0</v>
      </c>
      <c r="I1026" s="32">
        <v>0</v>
      </c>
      <c r="J1026" s="32">
        <v>0</v>
      </c>
      <c r="K1026" s="84">
        <v>0</v>
      </c>
      <c r="L1026" s="32">
        <v>0</v>
      </c>
      <c r="M1026" s="31">
        <v>864</v>
      </c>
      <c r="N1026" s="31">
        <v>4519519.21</v>
      </c>
      <c r="O1026" s="32">
        <v>0</v>
      </c>
      <c r="P1026" s="32">
        <v>0</v>
      </c>
      <c r="Q1026" s="32">
        <v>0</v>
      </c>
      <c r="R1026" s="32">
        <v>0</v>
      </c>
      <c r="S1026" s="32">
        <v>0</v>
      </c>
      <c r="T1026" s="32">
        <v>0</v>
      </c>
      <c r="U1026" s="32">
        <v>0</v>
      </c>
      <c r="V1026" s="32">
        <v>0</v>
      </c>
      <c r="W1026" s="32">
        <v>0</v>
      </c>
      <c r="X1026" s="32">
        <v>0</v>
      </c>
      <c r="Y1026" s="32">
        <v>0</v>
      </c>
      <c r="Z1026" s="32">
        <v>0</v>
      </c>
      <c r="AA1026" s="31">
        <v>0</v>
      </c>
      <c r="AB1026" s="31">
        <v>0</v>
      </c>
      <c r="AC1026" s="31">
        <f>ROUND(N1026*1.5%,2)</f>
        <v>67792.789999999994</v>
      </c>
      <c r="AD1026" s="31">
        <v>150000</v>
      </c>
      <c r="AE1026" s="31">
        <v>0</v>
      </c>
      <c r="AF1026" s="34">
        <v>2022</v>
      </c>
      <c r="AG1026" s="34">
        <v>2022</v>
      </c>
      <c r="AH1026" s="35">
        <v>2022</v>
      </c>
      <c r="AT1026" s="20" t="e">
        <f t="shared" si="230"/>
        <v>#N/A</v>
      </c>
      <c r="BZ1026" s="71"/>
    </row>
    <row r="1027" spans="1:78" ht="61.5" x14ac:dyDescent="0.85">
      <c r="A1027" s="20">
        <v>1</v>
      </c>
      <c r="B1027" s="66">
        <f>SUBTOTAL(103,$A$963:A1027)</f>
        <v>64</v>
      </c>
      <c r="C1027" s="24" t="s">
        <v>482</v>
      </c>
      <c r="D1027" s="31">
        <f t="shared" si="233"/>
        <v>491510.45999999996</v>
      </c>
      <c r="E1027" s="32">
        <v>0</v>
      </c>
      <c r="F1027" s="32">
        <v>0</v>
      </c>
      <c r="G1027" s="32">
        <v>0</v>
      </c>
      <c r="H1027" s="31">
        <v>415281.24</v>
      </c>
      <c r="I1027" s="32">
        <v>0</v>
      </c>
      <c r="J1027" s="32">
        <v>0</v>
      </c>
      <c r="K1027" s="84">
        <v>0</v>
      </c>
      <c r="L1027" s="32">
        <v>0</v>
      </c>
      <c r="M1027" s="31">
        <v>0</v>
      </c>
      <c r="N1027" s="31">
        <v>0</v>
      </c>
      <c r="O1027" s="32">
        <v>0</v>
      </c>
      <c r="P1027" s="32">
        <v>0</v>
      </c>
      <c r="Q1027" s="32">
        <v>0</v>
      </c>
      <c r="R1027" s="32">
        <v>0</v>
      </c>
      <c r="S1027" s="32">
        <v>0</v>
      </c>
      <c r="T1027" s="32">
        <v>0</v>
      </c>
      <c r="U1027" s="32">
        <v>0</v>
      </c>
      <c r="V1027" s="32">
        <v>0</v>
      </c>
      <c r="W1027" s="32">
        <v>0</v>
      </c>
      <c r="X1027" s="32">
        <v>0</v>
      </c>
      <c r="Y1027" s="32">
        <v>0</v>
      </c>
      <c r="Z1027" s="32">
        <v>0</v>
      </c>
      <c r="AA1027" s="31">
        <v>0</v>
      </c>
      <c r="AB1027" s="31">
        <v>0</v>
      </c>
      <c r="AC1027" s="31">
        <f>ROUND((E1027+F1027+G1027+H1027+I1027+J1027)*1.5%,2)</f>
        <v>6229.22</v>
      </c>
      <c r="AD1027" s="31">
        <v>70000</v>
      </c>
      <c r="AE1027" s="31">
        <v>0</v>
      </c>
      <c r="AF1027" s="34">
        <v>2022</v>
      </c>
      <c r="AG1027" s="34">
        <v>2022</v>
      </c>
      <c r="AH1027" s="35">
        <v>2022</v>
      </c>
      <c r="AT1027" s="20" t="e">
        <f t="shared" si="230"/>
        <v>#N/A</v>
      </c>
      <c r="BZ1027" s="71"/>
    </row>
    <row r="1028" spans="1:78" ht="61.5" x14ac:dyDescent="0.85">
      <c r="A1028" s="20">
        <v>1</v>
      </c>
      <c r="B1028" s="66">
        <f>SUBTOTAL(103,$A$963:A1028)</f>
        <v>65</v>
      </c>
      <c r="C1028" s="24" t="s">
        <v>483</v>
      </c>
      <c r="D1028" s="31">
        <f t="shared" si="233"/>
        <v>3422817.5799999996</v>
      </c>
      <c r="E1028" s="32">
        <v>0</v>
      </c>
      <c r="F1028" s="32">
        <v>0</v>
      </c>
      <c r="G1028" s="32">
        <v>0</v>
      </c>
      <c r="H1028" s="32">
        <v>0</v>
      </c>
      <c r="I1028" s="32">
        <v>0</v>
      </c>
      <c r="J1028" s="32">
        <v>0</v>
      </c>
      <c r="K1028" s="84">
        <v>0</v>
      </c>
      <c r="L1028" s="32">
        <v>0</v>
      </c>
      <c r="M1028" s="31">
        <v>624.26</v>
      </c>
      <c r="N1028" s="31">
        <v>3224450.82</v>
      </c>
      <c r="O1028" s="32">
        <v>0</v>
      </c>
      <c r="P1028" s="32">
        <v>0</v>
      </c>
      <c r="Q1028" s="32">
        <v>0</v>
      </c>
      <c r="R1028" s="32">
        <v>0</v>
      </c>
      <c r="S1028" s="32">
        <v>0</v>
      </c>
      <c r="T1028" s="32">
        <v>0</v>
      </c>
      <c r="U1028" s="32">
        <v>0</v>
      </c>
      <c r="V1028" s="32">
        <v>0</v>
      </c>
      <c r="W1028" s="32">
        <v>0</v>
      </c>
      <c r="X1028" s="32">
        <v>0</v>
      </c>
      <c r="Y1028" s="32">
        <v>0</v>
      </c>
      <c r="Z1028" s="32">
        <v>0</v>
      </c>
      <c r="AA1028" s="31">
        <v>0</v>
      </c>
      <c r="AB1028" s="31">
        <v>0</v>
      </c>
      <c r="AC1028" s="31">
        <f t="shared" ref="AC1028:AC1033" si="234">ROUND(N1028*1.5%,2)</f>
        <v>48366.76</v>
      </c>
      <c r="AD1028" s="31">
        <v>150000</v>
      </c>
      <c r="AE1028" s="31">
        <v>0</v>
      </c>
      <c r="AF1028" s="34">
        <v>2022</v>
      </c>
      <c r="AG1028" s="34">
        <v>2022</v>
      </c>
      <c r="AH1028" s="35">
        <v>2022</v>
      </c>
      <c r="AT1028" s="20" t="e">
        <f t="shared" si="230"/>
        <v>#N/A</v>
      </c>
      <c r="BZ1028" s="71"/>
    </row>
    <row r="1029" spans="1:78" ht="61.5" x14ac:dyDescent="0.85">
      <c r="A1029" s="20">
        <v>1</v>
      </c>
      <c r="B1029" s="66">
        <f>SUBTOTAL(103,$A$963:A1029)</f>
        <v>66</v>
      </c>
      <c r="C1029" s="24" t="s">
        <v>484</v>
      </c>
      <c r="D1029" s="31">
        <f t="shared" si="233"/>
        <v>2888444.4</v>
      </c>
      <c r="E1029" s="32">
        <v>0</v>
      </c>
      <c r="F1029" s="32">
        <v>0</v>
      </c>
      <c r="G1029" s="32">
        <v>0</v>
      </c>
      <c r="H1029" s="32">
        <v>0</v>
      </c>
      <c r="I1029" s="32">
        <v>0</v>
      </c>
      <c r="J1029" s="32">
        <v>0</v>
      </c>
      <c r="K1029" s="84">
        <v>0</v>
      </c>
      <c r="L1029" s="32">
        <v>0</v>
      </c>
      <c r="M1029" s="31">
        <v>526.79999999999995</v>
      </c>
      <c r="N1029" s="31">
        <v>2697974.78</v>
      </c>
      <c r="O1029" s="32">
        <v>0</v>
      </c>
      <c r="P1029" s="32">
        <v>0</v>
      </c>
      <c r="Q1029" s="32">
        <v>0</v>
      </c>
      <c r="R1029" s="32">
        <v>0</v>
      </c>
      <c r="S1029" s="32">
        <v>0</v>
      </c>
      <c r="T1029" s="32">
        <v>0</v>
      </c>
      <c r="U1029" s="32">
        <v>0</v>
      </c>
      <c r="V1029" s="32">
        <v>0</v>
      </c>
      <c r="W1029" s="32">
        <v>0</v>
      </c>
      <c r="X1029" s="32">
        <v>0</v>
      </c>
      <c r="Y1029" s="32">
        <v>0</v>
      </c>
      <c r="Z1029" s="32">
        <v>0</v>
      </c>
      <c r="AA1029" s="31">
        <v>0</v>
      </c>
      <c r="AB1029" s="31">
        <v>0</v>
      </c>
      <c r="AC1029" s="31">
        <f t="shared" si="234"/>
        <v>40469.620000000003</v>
      </c>
      <c r="AD1029" s="31">
        <v>150000</v>
      </c>
      <c r="AE1029" s="31">
        <v>0</v>
      </c>
      <c r="AF1029" s="34">
        <v>2022</v>
      </c>
      <c r="AG1029" s="34">
        <v>2022</v>
      </c>
      <c r="AH1029" s="35">
        <v>2022</v>
      </c>
      <c r="AT1029" s="20" t="e">
        <f t="shared" si="230"/>
        <v>#N/A</v>
      </c>
      <c r="BZ1029" s="71"/>
    </row>
    <row r="1030" spans="1:78" ht="61.5" x14ac:dyDescent="0.85">
      <c r="A1030" s="20">
        <v>1</v>
      </c>
      <c r="B1030" s="66">
        <f>SUBTOTAL(103,$A$963:A1030)</f>
        <v>67</v>
      </c>
      <c r="C1030" s="24" t="s">
        <v>485</v>
      </c>
      <c r="D1030" s="31">
        <f t="shared" si="233"/>
        <v>3422817.5799999996</v>
      </c>
      <c r="E1030" s="32">
        <v>0</v>
      </c>
      <c r="F1030" s="32">
        <v>0</v>
      </c>
      <c r="G1030" s="32">
        <v>0</v>
      </c>
      <c r="H1030" s="32">
        <v>0</v>
      </c>
      <c r="I1030" s="32">
        <v>0</v>
      </c>
      <c r="J1030" s="32">
        <v>0</v>
      </c>
      <c r="K1030" s="84">
        <v>0</v>
      </c>
      <c r="L1030" s="32">
        <v>0</v>
      </c>
      <c r="M1030" s="31">
        <v>624.26</v>
      </c>
      <c r="N1030" s="31">
        <v>3224450.82</v>
      </c>
      <c r="O1030" s="32">
        <v>0</v>
      </c>
      <c r="P1030" s="32">
        <v>0</v>
      </c>
      <c r="Q1030" s="32">
        <v>0</v>
      </c>
      <c r="R1030" s="32">
        <v>0</v>
      </c>
      <c r="S1030" s="32">
        <v>0</v>
      </c>
      <c r="T1030" s="32">
        <v>0</v>
      </c>
      <c r="U1030" s="32">
        <v>0</v>
      </c>
      <c r="V1030" s="32">
        <v>0</v>
      </c>
      <c r="W1030" s="32">
        <v>0</v>
      </c>
      <c r="X1030" s="32">
        <v>0</v>
      </c>
      <c r="Y1030" s="32">
        <v>0</v>
      </c>
      <c r="Z1030" s="32">
        <v>0</v>
      </c>
      <c r="AA1030" s="31">
        <v>0</v>
      </c>
      <c r="AB1030" s="31">
        <v>0</v>
      </c>
      <c r="AC1030" s="31">
        <f t="shared" si="234"/>
        <v>48366.76</v>
      </c>
      <c r="AD1030" s="31">
        <v>150000</v>
      </c>
      <c r="AE1030" s="31">
        <v>0</v>
      </c>
      <c r="AF1030" s="34">
        <v>2022</v>
      </c>
      <c r="AG1030" s="34">
        <v>2022</v>
      </c>
      <c r="AH1030" s="35">
        <v>2022</v>
      </c>
      <c r="AT1030" s="20" t="e">
        <f t="shared" si="230"/>
        <v>#N/A</v>
      </c>
      <c r="BZ1030" s="71"/>
    </row>
    <row r="1031" spans="1:78" ht="61.5" x14ac:dyDescent="0.85">
      <c r="A1031" s="20">
        <v>1</v>
      </c>
      <c r="B1031" s="66">
        <f>SUBTOTAL(103,$A$963:A1031)</f>
        <v>68</v>
      </c>
      <c r="C1031" s="24" t="s">
        <v>486</v>
      </c>
      <c r="D1031" s="31">
        <f t="shared" si="233"/>
        <v>3106903.4</v>
      </c>
      <c r="E1031" s="32">
        <v>0</v>
      </c>
      <c r="F1031" s="32">
        <v>0</v>
      </c>
      <c r="G1031" s="32">
        <v>0</v>
      </c>
      <c r="H1031" s="32">
        <v>0</v>
      </c>
      <c r="I1031" s="32">
        <v>0</v>
      </c>
      <c r="J1031" s="32">
        <v>0</v>
      </c>
      <c r="K1031" s="84">
        <v>0</v>
      </c>
      <c r="L1031" s="32">
        <v>0</v>
      </c>
      <c r="M1031" s="31">
        <v>544.85</v>
      </c>
      <c r="N1031" s="31">
        <f>2664960.76+248244.56</f>
        <v>2913205.32</v>
      </c>
      <c r="O1031" s="32">
        <v>0</v>
      </c>
      <c r="P1031" s="32">
        <v>0</v>
      </c>
      <c r="Q1031" s="32">
        <v>0</v>
      </c>
      <c r="R1031" s="32">
        <v>0</v>
      </c>
      <c r="S1031" s="32">
        <v>0</v>
      </c>
      <c r="T1031" s="32">
        <v>0</v>
      </c>
      <c r="U1031" s="32">
        <v>0</v>
      </c>
      <c r="V1031" s="32">
        <v>0</v>
      </c>
      <c r="W1031" s="32">
        <v>0</v>
      </c>
      <c r="X1031" s="32">
        <v>0</v>
      </c>
      <c r="Y1031" s="32">
        <v>0</v>
      </c>
      <c r="Z1031" s="32">
        <v>0</v>
      </c>
      <c r="AA1031" s="31">
        <v>0</v>
      </c>
      <c r="AB1031" s="31">
        <v>0</v>
      </c>
      <c r="AC1031" s="31">
        <f t="shared" si="234"/>
        <v>43698.080000000002</v>
      </c>
      <c r="AD1031" s="31">
        <v>150000</v>
      </c>
      <c r="AE1031" s="31">
        <v>0</v>
      </c>
      <c r="AF1031" s="34">
        <v>2022</v>
      </c>
      <c r="AG1031" s="34">
        <v>2022</v>
      </c>
      <c r="AH1031" s="35">
        <v>2022</v>
      </c>
      <c r="AT1031" s="20" t="e">
        <f t="shared" si="230"/>
        <v>#N/A</v>
      </c>
      <c r="BZ1031" s="71"/>
    </row>
    <row r="1032" spans="1:78" ht="61.5" x14ac:dyDescent="0.85">
      <c r="A1032" s="20">
        <v>1</v>
      </c>
      <c r="B1032" s="66">
        <f>SUBTOTAL(103,$A$963:A1032)</f>
        <v>69</v>
      </c>
      <c r="C1032" s="24" t="s">
        <v>1745</v>
      </c>
      <c r="D1032" s="31">
        <f t="shared" si="233"/>
        <v>2564145.2799999998</v>
      </c>
      <c r="E1032" s="30">
        <v>0</v>
      </c>
      <c r="F1032" s="32">
        <v>0</v>
      </c>
      <c r="G1032" s="30">
        <v>0</v>
      </c>
      <c r="H1032" s="32">
        <v>0</v>
      </c>
      <c r="I1032" s="32">
        <v>0</v>
      </c>
      <c r="J1032" s="32">
        <v>0</v>
      </c>
      <c r="K1032" s="84">
        <v>0</v>
      </c>
      <c r="L1032" s="32">
        <v>0</v>
      </c>
      <c r="M1032" s="31">
        <v>375</v>
      </c>
      <c r="N1032" s="31">
        <v>2378468.2599999998</v>
      </c>
      <c r="O1032" s="32">
        <v>0</v>
      </c>
      <c r="P1032" s="32">
        <v>0</v>
      </c>
      <c r="Q1032" s="32">
        <v>0</v>
      </c>
      <c r="R1032" s="32">
        <v>0</v>
      </c>
      <c r="S1032" s="32">
        <v>0</v>
      </c>
      <c r="T1032" s="32">
        <v>0</v>
      </c>
      <c r="U1032" s="32">
        <v>0</v>
      </c>
      <c r="V1032" s="32">
        <v>0</v>
      </c>
      <c r="W1032" s="32">
        <v>0</v>
      </c>
      <c r="X1032" s="32">
        <v>0</v>
      </c>
      <c r="Y1032" s="32">
        <v>0</v>
      </c>
      <c r="Z1032" s="32">
        <v>0</v>
      </c>
      <c r="AA1032" s="31">
        <v>0</v>
      </c>
      <c r="AB1032" s="31">
        <v>0</v>
      </c>
      <c r="AC1032" s="31">
        <f t="shared" si="234"/>
        <v>35677.019999999997</v>
      </c>
      <c r="AD1032" s="31">
        <v>150000</v>
      </c>
      <c r="AE1032" s="31">
        <v>0</v>
      </c>
      <c r="AF1032" s="34">
        <v>2022</v>
      </c>
      <c r="AG1032" s="34">
        <v>2022</v>
      </c>
      <c r="AH1032" s="35">
        <v>2022</v>
      </c>
      <c r="AT1032" s="20" t="e">
        <f t="shared" si="230"/>
        <v>#N/A</v>
      </c>
      <c r="BZ1032" s="71"/>
    </row>
    <row r="1033" spans="1:78" ht="61.5" x14ac:dyDescent="0.85">
      <c r="A1033" s="20">
        <v>1</v>
      </c>
      <c r="B1033" s="66">
        <f>SUBTOTAL(103,$A$963:A1033)</f>
        <v>70</v>
      </c>
      <c r="C1033" s="24" t="s">
        <v>488</v>
      </c>
      <c r="D1033" s="31">
        <f t="shared" si="233"/>
        <v>3110189.0700000003</v>
      </c>
      <c r="E1033" s="32">
        <v>0</v>
      </c>
      <c r="F1033" s="32">
        <v>0</v>
      </c>
      <c r="G1033" s="32">
        <v>0</v>
      </c>
      <c r="H1033" s="32">
        <v>0</v>
      </c>
      <c r="I1033" s="32">
        <v>0</v>
      </c>
      <c r="J1033" s="32">
        <v>0</v>
      </c>
      <c r="K1033" s="84">
        <v>0</v>
      </c>
      <c r="L1033" s="32">
        <v>0</v>
      </c>
      <c r="M1033" s="31">
        <v>547</v>
      </c>
      <c r="N1033" s="31">
        <f>2667213.48+249224.14+4.81</f>
        <v>2916442.43</v>
      </c>
      <c r="O1033" s="32">
        <v>0</v>
      </c>
      <c r="P1033" s="32">
        <v>0</v>
      </c>
      <c r="Q1033" s="32">
        <v>0</v>
      </c>
      <c r="R1033" s="32">
        <v>0</v>
      </c>
      <c r="S1033" s="32">
        <v>0</v>
      </c>
      <c r="T1033" s="31">
        <v>0</v>
      </c>
      <c r="U1033" s="32">
        <v>0</v>
      </c>
      <c r="V1033" s="32">
        <v>0</v>
      </c>
      <c r="W1033" s="32">
        <v>0</v>
      </c>
      <c r="X1033" s="32">
        <v>0</v>
      </c>
      <c r="Y1033" s="32">
        <v>0</v>
      </c>
      <c r="Z1033" s="32">
        <v>0</v>
      </c>
      <c r="AA1033" s="31">
        <v>0</v>
      </c>
      <c r="AB1033" s="31">
        <v>0</v>
      </c>
      <c r="AC1033" s="31">
        <f t="shared" si="234"/>
        <v>43746.64</v>
      </c>
      <c r="AD1033" s="31">
        <v>150000</v>
      </c>
      <c r="AE1033" s="31">
        <v>0</v>
      </c>
      <c r="AF1033" s="34">
        <v>2022</v>
      </c>
      <c r="AG1033" s="34">
        <v>2022</v>
      </c>
      <c r="AH1033" s="35">
        <v>2022</v>
      </c>
      <c r="AT1033" s="20" t="e">
        <f t="shared" si="230"/>
        <v>#N/A</v>
      </c>
      <c r="BZ1033" s="71"/>
    </row>
    <row r="1034" spans="1:78" ht="61.5" x14ac:dyDescent="0.85">
      <c r="A1034" s="20">
        <v>1</v>
      </c>
      <c r="B1034" s="66">
        <f>SUBTOTAL(103,$A$963:A1034)</f>
        <v>71</v>
      </c>
      <c r="C1034" s="24" t="s">
        <v>489</v>
      </c>
      <c r="D1034" s="31">
        <f t="shared" si="233"/>
        <v>2521758.64</v>
      </c>
      <c r="E1034" s="32">
        <v>0</v>
      </c>
      <c r="F1034" s="32">
        <v>0</v>
      </c>
      <c r="G1034" s="32">
        <v>0</v>
      </c>
      <c r="H1034" s="32">
        <v>0</v>
      </c>
      <c r="I1034" s="32">
        <v>0</v>
      </c>
      <c r="J1034" s="32">
        <v>0</v>
      </c>
      <c r="K1034" s="84">
        <v>0</v>
      </c>
      <c r="L1034" s="32">
        <v>0</v>
      </c>
      <c r="M1034" s="31">
        <v>398.44</v>
      </c>
      <c r="N1034" s="31">
        <v>2366264.67</v>
      </c>
      <c r="O1034" s="32">
        <v>0</v>
      </c>
      <c r="P1034" s="32">
        <v>0</v>
      </c>
      <c r="Q1034" s="32">
        <v>0</v>
      </c>
      <c r="R1034" s="32">
        <v>0</v>
      </c>
      <c r="S1034" s="32">
        <v>0</v>
      </c>
      <c r="T1034" s="32">
        <v>0</v>
      </c>
      <c r="U1034" s="32">
        <v>0</v>
      </c>
      <c r="V1034" s="32">
        <v>0</v>
      </c>
      <c r="W1034" s="32">
        <v>0</v>
      </c>
      <c r="X1034" s="32">
        <v>0</v>
      </c>
      <c r="Y1034" s="32">
        <v>0</v>
      </c>
      <c r="Z1034" s="32">
        <v>0</v>
      </c>
      <c r="AA1034" s="31">
        <v>0</v>
      </c>
      <c r="AB1034" s="31">
        <v>0</v>
      </c>
      <c r="AC1034" s="31">
        <f>ROUND(N1034*1.5%,2)</f>
        <v>35493.97</v>
      </c>
      <c r="AD1034" s="31">
        <v>120000</v>
      </c>
      <c r="AE1034" s="31">
        <v>0</v>
      </c>
      <c r="AF1034" s="34">
        <v>2022</v>
      </c>
      <c r="AG1034" s="34">
        <v>2022</v>
      </c>
      <c r="AH1034" s="35">
        <v>2022</v>
      </c>
      <c r="AT1034" s="20" t="e">
        <f t="shared" si="230"/>
        <v>#N/A</v>
      </c>
      <c r="BZ1034" s="71"/>
    </row>
    <row r="1035" spans="1:78" ht="61.5" x14ac:dyDescent="0.85">
      <c r="A1035" s="20">
        <v>1</v>
      </c>
      <c r="B1035" s="66">
        <f>SUBTOTAL(103,$A$963:A1035)</f>
        <v>72</v>
      </c>
      <c r="C1035" s="24" t="s">
        <v>1639</v>
      </c>
      <c r="D1035" s="31">
        <f t="shared" si="233"/>
        <v>2382311.33</v>
      </c>
      <c r="E1035" s="32">
        <v>0</v>
      </c>
      <c r="F1035" s="32">
        <v>0</v>
      </c>
      <c r="G1035" s="32">
        <v>0</v>
      </c>
      <c r="H1035" s="32">
        <v>0</v>
      </c>
      <c r="I1035" s="32">
        <v>0</v>
      </c>
      <c r="J1035" s="32">
        <v>0</v>
      </c>
      <c r="K1035" s="84">
        <v>0</v>
      </c>
      <c r="L1035" s="32">
        <v>0</v>
      </c>
      <c r="M1035" s="31">
        <v>404.2</v>
      </c>
      <c r="N1035" s="31">
        <v>2110651.56</v>
      </c>
      <c r="O1035" s="32">
        <v>0</v>
      </c>
      <c r="P1035" s="32">
        <v>0</v>
      </c>
      <c r="Q1035" s="32">
        <v>0</v>
      </c>
      <c r="R1035" s="32">
        <v>0</v>
      </c>
      <c r="S1035" s="32">
        <v>0</v>
      </c>
      <c r="T1035" s="32">
        <v>0</v>
      </c>
      <c r="U1035" s="32">
        <v>0</v>
      </c>
      <c r="V1035" s="32">
        <v>0</v>
      </c>
      <c r="W1035" s="32">
        <v>0</v>
      </c>
      <c r="X1035" s="32">
        <v>0</v>
      </c>
      <c r="Y1035" s="32">
        <v>0</v>
      </c>
      <c r="Z1035" s="32">
        <v>0</v>
      </c>
      <c r="AA1035" s="31">
        <v>0</v>
      </c>
      <c r="AB1035" s="31">
        <v>0</v>
      </c>
      <c r="AC1035" s="31">
        <f>ROUND(N1035*1.5%,2)</f>
        <v>31659.77</v>
      </c>
      <c r="AD1035" s="31">
        <v>120000</v>
      </c>
      <c r="AE1035" s="31">
        <v>120000</v>
      </c>
      <c r="AF1035" s="34">
        <v>2022</v>
      </c>
      <c r="AG1035" s="34">
        <v>2022</v>
      </c>
      <c r="AH1035" s="35">
        <v>2022</v>
      </c>
      <c r="BZ1035" s="71"/>
    </row>
    <row r="1036" spans="1:78" ht="61.5" x14ac:dyDescent="0.85">
      <c r="B1036" s="24" t="s">
        <v>782</v>
      </c>
      <c r="C1036" s="129"/>
      <c r="D1036" s="31">
        <f t="shared" ref="D1036:AE1036" si="235">SUM(D1037:D1062)</f>
        <v>87295266.429999992</v>
      </c>
      <c r="E1036" s="31">
        <f t="shared" si="235"/>
        <v>0</v>
      </c>
      <c r="F1036" s="31">
        <f t="shared" si="235"/>
        <v>0</v>
      </c>
      <c r="G1036" s="31">
        <f t="shared" si="235"/>
        <v>0</v>
      </c>
      <c r="H1036" s="31">
        <f t="shared" si="235"/>
        <v>0</v>
      </c>
      <c r="I1036" s="31">
        <f t="shared" si="235"/>
        <v>1794795.08</v>
      </c>
      <c r="J1036" s="31">
        <f t="shared" si="235"/>
        <v>0</v>
      </c>
      <c r="K1036" s="33">
        <f t="shared" si="235"/>
        <v>5</v>
      </c>
      <c r="L1036" s="31">
        <f t="shared" si="235"/>
        <v>10631631.530000001</v>
      </c>
      <c r="M1036" s="31">
        <f t="shared" si="235"/>
        <v>14798</v>
      </c>
      <c r="N1036" s="31">
        <f t="shared" si="235"/>
        <v>67952677.739999995</v>
      </c>
      <c r="O1036" s="31">
        <f t="shared" si="235"/>
        <v>0</v>
      </c>
      <c r="P1036" s="31">
        <f t="shared" si="235"/>
        <v>0</v>
      </c>
      <c r="Q1036" s="31">
        <f t="shared" si="235"/>
        <v>1050</v>
      </c>
      <c r="R1036" s="31">
        <f t="shared" si="235"/>
        <v>5664975.3700000001</v>
      </c>
      <c r="S1036" s="31">
        <f t="shared" si="235"/>
        <v>0</v>
      </c>
      <c r="T1036" s="31">
        <f t="shared" si="235"/>
        <v>0</v>
      </c>
      <c r="U1036" s="31">
        <f t="shared" si="235"/>
        <v>0</v>
      </c>
      <c r="V1036" s="31">
        <f t="shared" si="235"/>
        <v>0</v>
      </c>
      <c r="W1036" s="31">
        <f t="shared" si="235"/>
        <v>0</v>
      </c>
      <c r="X1036" s="31">
        <f t="shared" si="235"/>
        <v>0</v>
      </c>
      <c r="Y1036" s="31">
        <f t="shared" si="235"/>
        <v>0</v>
      </c>
      <c r="Z1036" s="31">
        <f t="shared" si="235"/>
        <v>0</v>
      </c>
      <c r="AA1036" s="31">
        <f t="shared" si="235"/>
        <v>0</v>
      </c>
      <c r="AB1036" s="31">
        <f t="shared" si="235"/>
        <v>0</v>
      </c>
      <c r="AC1036" s="31">
        <f t="shared" si="235"/>
        <v>1131186.71</v>
      </c>
      <c r="AD1036" s="31">
        <f t="shared" si="235"/>
        <v>0</v>
      </c>
      <c r="AE1036" s="31">
        <f t="shared" si="235"/>
        <v>120000</v>
      </c>
      <c r="AF1036" s="72" t="s">
        <v>776</v>
      </c>
      <c r="AG1036" s="72" t="s">
        <v>776</v>
      </c>
      <c r="AH1036" s="88" t="s">
        <v>776</v>
      </c>
      <c r="AT1036" s="20" t="e">
        <f t="shared" ref="AT1036:AT1073" si="236">VLOOKUP(C1036,AW:AX,2,FALSE)</f>
        <v>#N/A</v>
      </c>
      <c r="BZ1036" s="71">
        <v>91626897.959999993</v>
      </c>
    </row>
    <row r="1037" spans="1:78" ht="61.5" x14ac:dyDescent="0.85">
      <c r="A1037" s="20">
        <v>1</v>
      </c>
      <c r="B1037" s="66">
        <f>SUBTOTAL(103,$A$963:A1037)</f>
        <v>73</v>
      </c>
      <c r="C1037" s="24" t="s">
        <v>433</v>
      </c>
      <c r="D1037" s="31">
        <f t="shared" ref="D1037:D1062" si="237">E1037+F1037+G1037+H1037+I1037+J1037+L1037+N1037+P1037+R1037+T1037+U1037+V1037+W1037+X1037+Y1037+Z1037+AA1037+AB1037+AC1037+AD1037+AE1037</f>
        <v>4337224.8899999997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3">
        <v>0</v>
      </c>
      <c r="L1037" s="31">
        <v>0</v>
      </c>
      <c r="M1037" s="31">
        <v>930</v>
      </c>
      <c r="N1037" s="31">
        <v>4273127.97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0</v>
      </c>
      <c r="U1037" s="31">
        <v>0</v>
      </c>
      <c r="V1037" s="31">
        <v>0</v>
      </c>
      <c r="W1037" s="31">
        <v>0</v>
      </c>
      <c r="X1037" s="31">
        <v>0</v>
      </c>
      <c r="Y1037" s="31">
        <v>0</v>
      </c>
      <c r="Z1037" s="31">
        <v>0</v>
      </c>
      <c r="AA1037" s="31">
        <v>0</v>
      </c>
      <c r="AB1037" s="31">
        <v>0</v>
      </c>
      <c r="AC1037" s="31">
        <f>ROUND(N1037*1.5%,2)</f>
        <v>64096.92</v>
      </c>
      <c r="AD1037" s="31">
        <v>0</v>
      </c>
      <c r="AE1037" s="31">
        <v>0</v>
      </c>
      <c r="AF1037" s="34" t="s">
        <v>274</v>
      </c>
      <c r="AG1037" s="34">
        <v>2022</v>
      </c>
      <c r="AH1037" s="35">
        <v>2022</v>
      </c>
      <c r="AT1037" s="20" t="e">
        <f t="shared" si="236"/>
        <v>#N/A</v>
      </c>
      <c r="BZ1037" s="71"/>
    </row>
    <row r="1038" spans="1:78" ht="61.5" x14ac:dyDescent="0.85">
      <c r="A1038" s="20">
        <v>1</v>
      </c>
      <c r="B1038" s="66">
        <f>SUBTOTAL(103,$A$963:A1038)</f>
        <v>74</v>
      </c>
      <c r="C1038" s="24" t="s">
        <v>434</v>
      </c>
      <c r="D1038" s="31">
        <f t="shared" si="237"/>
        <v>2714283.9</v>
      </c>
      <c r="E1038" s="31">
        <v>0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3">
        <v>0</v>
      </c>
      <c r="L1038" s="31">
        <v>0</v>
      </c>
      <c r="M1038" s="31">
        <v>594</v>
      </c>
      <c r="N1038" s="31">
        <v>2674171.33</v>
      </c>
      <c r="O1038" s="31">
        <v>0</v>
      </c>
      <c r="P1038" s="31">
        <v>0</v>
      </c>
      <c r="Q1038" s="31">
        <v>0</v>
      </c>
      <c r="R1038" s="31">
        <v>0</v>
      </c>
      <c r="S1038" s="31">
        <v>0</v>
      </c>
      <c r="T1038" s="31">
        <v>0</v>
      </c>
      <c r="U1038" s="31">
        <v>0</v>
      </c>
      <c r="V1038" s="31">
        <v>0</v>
      </c>
      <c r="W1038" s="31">
        <v>0</v>
      </c>
      <c r="X1038" s="31">
        <v>0</v>
      </c>
      <c r="Y1038" s="31">
        <v>0</v>
      </c>
      <c r="Z1038" s="31">
        <v>0</v>
      </c>
      <c r="AA1038" s="31">
        <v>0</v>
      </c>
      <c r="AB1038" s="31">
        <v>0</v>
      </c>
      <c r="AC1038" s="31">
        <f>ROUND(N1038*1.5%,2)</f>
        <v>40112.57</v>
      </c>
      <c r="AD1038" s="31">
        <v>0</v>
      </c>
      <c r="AE1038" s="31">
        <v>0</v>
      </c>
      <c r="AF1038" s="34" t="s">
        <v>274</v>
      </c>
      <c r="AG1038" s="34">
        <v>2022</v>
      </c>
      <c r="AH1038" s="35">
        <v>2022</v>
      </c>
      <c r="AT1038" s="20" t="e">
        <f t="shared" si="236"/>
        <v>#N/A</v>
      </c>
      <c r="BZ1038" s="71"/>
    </row>
    <row r="1039" spans="1:78" ht="61.5" x14ac:dyDescent="0.85">
      <c r="A1039" s="20">
        <v>1</v>
      </c>
      <c r="B1039" s="66">
        <f>SUBTOTAL(103,$A$963:A1039)</f>
        <v>75</v>
      </c>
      <c r="C1039" s="24" t="s">
        <v>435</v>
      </c>
      <c r="D1039" s="31">
        <f t="shared" si="237"/>
        <v>5214319.6899999995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3">
        <v>0</v>
      </c>
      <c r="L1039" s="31">
        <v>0</v>
      </c>
      <c r="M1039" s="31">
        <v>1118</v>
      </c>
      <c r="N1039" s="31">
        <v>5137260.7799999993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0</v>
      </c>
      <c r="U1039" s="31">
        <v>0</v>
      </c>
      <c r="V1039" s="31">
        <v>0</v>
      </c>
      <c r="W1039" s="31">
        <v>0</v>
      </c>
      <c r="X1039" s="31">
        <v>0</v>
      </c>
      <c r="Y1039" s="31">
        <v>0</v>
      </c>
      <c r="Z1039" s="31">
        <v>0</v>
      </c>
      <c r="AA1039" s="31">
        <v>0</v>
      </c>
      <c r="AB1039" s="31">
        <v>0</v>
      </c>
      <c r="AC1039" s="31">
        <f>ROUND(N1039*1.5%,2)</f>
        <v>77058.91</v>
      </c>
      <c r="AD1039" s="31">
        <v>0</v>
      </c>
      <c r="AE1039" s="31">
        <v>0</v>
      </c>
      <c r="AF1039" s="34" t="s">
        <v>274</v>
      </c>
      <c r="AG1039" s="34">
        <v>2022</v>
      </c>
      <c r="AH1039" s="35">
        <v>2022</v>
      </c>
      <c r="AT1039" s="20" t="e">
        <f t="shared" si="236"/>
        <v>#N/A</v>
      </c>
      <c r="BZ1039" s="71"/>
    </row>
    <row r="1040" spans="1:78" ht="61.5" x14ac:dyDescent="0.85">
      <c r="A1040" s="20">
        <v>1</v>
      </c>
      <c r="B1040" s="66">
        <f>SUBTOTAL(103,$A$963:A1040)</f>
        <v>76</v>
      </c>
      <c r="C1040" s="24" t="s">
        <v>436</v>
      </c>
      <c r="D1040" s="31">
        <f t="shared" si="237"/>
        <v>5749950</v>
      </c>
      <c r="E1040" s="31">
        <v>0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3">
        <v>0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1050</v>
      </c>
      <c r="R1040" s="31">
        <v>5664975.3700000001</v>
      </c>
      <c r="S1040" s="31">
        <v>0</v>
      </c>
      <c r="T1040" s="31">
        <v>0</v>
      </c>
      <c r="U1040" s="31">
        <v>0</v>
      </c>
      <c r="V1040" s="31">
        <v>0</v>
      </c>
      <c r="W1040" s="31">
        <v>0</v>
      </c>
      <c r="X1040" s="31">
        <v>0</v>
      </c>
      <c r="Y1040" s="31">
        <v>0</v>
      </c>
      <c r="Z1040" s="31">
        <v>0</v>
      </c>
      <c r="AA1040" s="31">
        <v>0</v>
      </c>
      <c r="AB1040" s="31">
        <v>0</v>
      </c>
      <c r="AC1040" s="31">
        <f>ROUND(R1040*1.5%,2)</f>
        <v>84974.63</v>
      </c>
      <c r="AD1040" s="31">
        <v>0</v>
      </c>
      <c r="AE1040" s="31">
        <v>0</v>
      </c>
      <c r="AF1040" s="34" t="s">
        <v>274</v>
      </c>
      <c r="AG1040" s="34">
        <v>2022</v>
      </c>
      <c r="AH1040" s="35">
        <v>2022</v>
      </c>
      <c r="AT1040" s="20" t="e">
        <f t="shared" si="236"/>
        <v>#N/A</v>
      </c>
      <c r="BZ1040" s="71"/>
    </row>
    <row r="1041" spans="1:78" ht="61.5" x14ac:dyDescent="0.85">
      <c r="A1041" s="20">
        <v>1</v>
      </c>
      <c r="B1041" s="66">
        <f>SUBTOTAL(103,$A$963:A1041)</f>
        <v>77</v>
      </c>
      <c r="C1041" s="24" t="s">
        <v>437</v>
      </c>
      <c r="D1041" s="31">
        <f t="shared" si="237"/>
        <v>3391530.1000000006</v>
      </c>
      <c r="E1041" s="31">
        <v>0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3">
        <v>0</v>
      </c>
      <c r="L1041" s="31">
        <v>0</v>
      </c>
      <c r="M1041" s="31">
        <v>734</v>
      </c>
      <c r="N1041" s="31">
        <f>3341408.97-118226.61</f>
        <v>3223182.3600000003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1">
        <v>0</v>
      </c>
      <c r="X1041" s="31">
        <v>0</v>
      </c>
      <c r="Y1041" s="31">
        <v>0</v>
      </c>
      <c r="Z1041" s="31">
        <v>0</v>
      </c>
      <c r="AA1041" s="31">
        <v>0</v>
      </c>
      <c r="AB1041" s="31">
        <v>0</v>
      </c>
      <c r="AC1041" s="31">
        <f>ROUND(N1041*1.5%,2)</f>
        <v>48347.74</v>
      </c>
      <c r="AD1041" s="31">
        <v>0</v>
      </c>
      <c r="AE1041" s="31">
        <v>120000</v>
      </c>
      <c r="AF1041" s="34" t="s">
        <v>274</v>
      </c>
      <c r="AG1041" s="34">
        <v>2022</v>
      </c>
      <c r="AH1041" s="35">
        <v>2022</v>
      </c>
      <c r="AT1041" s="20" t="e">
        <f t="shared" si="236"/>
        <v>#N/A</v>
      </c>
      <c r="BZ1041" s="71"/>
    </row>
    <row r="1042" spans="1:78" ht="61.5" x14ac:dyDescent="0.85">
      <c r="A1042" s="20">
        <v>1</v>
      </c>
      <c r="B1042" s="66">
        <f>SUBTOTAL(103,$A$963:A1042)</f>
        <v>78</v>
      </c>
      <c r="C1042" s="24" t="s">
        <v>438</v>
      </c>
      <c r="D1042" s="31">
        <f t="shared" si="237"/>
        <v>8090003.5300000003</v>
      </c>
      <c r="E1042" s="31">
        <v>0</v>
      </c>
      <c r="F1042" s="31">
        <v>0</v>
      </c>
      <c r="G1042" s="31">
        <v>0</v>
      </c>
      <c r="H1042" s="31">
        <v>0</v>
      </c>
      <c r="I1042" s="31">
        <v>0</v>
      </c>
      <c r="J1042" s="31">
        <v>0</v>
      </c>
      <c r="K1042" s="33">
        <v>0</v>
      </c>
      <c r="L1042" s="31">
        <v>0</v>
      </c>
      <c r="M1042" s="31">
        <v>1714</v>
      </c>
      <c r="N1042" s="31">
        <v>7970446.8300000001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1">
        <v>0</v>
      </c>
      <c r="X1042" s="31">
        <v>0</v>
      </c>
      <c r="Y1042" s="31">
        <v>0</v>
      </c>
      <c r="Z1042" s="31">
        <v>0</v>
      </c>
      <c r="AA1042" s="31">
        <v>0</v>
      </c>
      <c r="AB1042" s="31">
        <v>0</v>
      </c>
      <c r="AC1042" s="31">
        <f>ROUND(N1042*1.5%,2)</f>
        <v>119556.7</v>
      </c>
      <c r="AD1042" s="31">
        <v>0</v>
      </c>
      <c r="AE1042" s="31">
        <v>0</v>
      </c>
      <c r="AF1042" s="34" t="s">
        <v>274</v>
      </c>
      <c r="AG1042" s="34">
        <v>2022</v>
      </c>
      <c r="AH1042" s="35">
        <v>2022</v>
      </c>
      <c r="AT1042" s="20" t="e">
        <f t="shared" si="236"/>
        <v>#N/A</v>
      </c>
      <c r="BZ1042" s="71"/>
    </row>
    <row r="1043" spans="1:78" ht="61.5" x14ac:dyDescent="0.85">
      <c r="A1043" s="20">
        <v>1</v>
      </c>
      <c r="B1043" s="66">
        <f>SUBTOTAL(103,$A$963:A1043)</f>
        <v>79</v>
      </c>
      <c r="C1043" s="24" t="s">
        <v>439</v>
      </c>
      <c r="D1043" s="31">
        <f t="shared" si="237"/>
        <v>2744983.73</v>
      </c>
      <c r="E1043" s="31">
        <v>0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3">
        <v>0</v>
      </c>
      <c r="L1043" s="31">
        <v>0</v>
      </c>
      <c r="M1043" s="31">
        <v>600</v>
      </c>
      <c r="N1043" s="31">
        <v>2704417.47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0</v>
      </c>
      <c r="U1043" s="31">
        <v>0</v>
      </c>
      <c r="V1043" s="31">
        <v>0</v>
      </c>
      <c r="W1043" s="31">
        <v>0</v>
      </c>
      <c r="X1043" s="31">
        <v>0</v>
      </c>
      <c r="Y1043" s="31">
        <v>0</v>
      </c>
      <c r="Z1043" s="31">
        <v>0</v>
      </c>
      <c r="AA1043" s="31">
        <v>0</v>
      </c>
      <c r="AB1043" s="31">
        <v>0</v>
      </c>
      <c r="AC1043" s="31">
        <f>ROUND(N1043*1.5%,2)</f>
        <v>40566.26</v>
      </c>
      <c r="AD1043" s="31">
        <v>0</v>
      </c>
      <c r="AE1043" s="31">
        <v>0</v>
      </c>
      <c r="AF1043" s="34" t="s">
        <v>274</v>
      </c>
      <c r="AG1043" s="34">
        <v>2022</v>
      </c>
      <c r="AH1043" s="35">
        <v>2022</v>
      </c>
      <c r="AT1043" s="20" t="e">
        <f t="shared" si="236"/>
        <v>#N/A</v>
      </c>
      <c r="BZ1043" s="71"/>
    </row>
    <row r="1044" spans="1:78" ht="61.5" x14ac:dyDescent="0.85">
      <c r="A1044" s="20">
        <v>1</v>
      </c>
      <c r="B1044" s="66">
        <f>SUBTOTAL(103,$A$963:A1044)</f>
        <v>80</v>
      </c>
      <c r="C1044" s="24" t="s">
        <v>440</v>
      </c>
      <c r="D1044" s="31">
        <f t="shared" si="237"/>
        <v>1568740.5100000002</v>
      </c>
      <c r="E1044" s="31">
        <v>0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3">
        <v>0</v>
      </c>
      <c r="L1044" s="31">
        <v>0</v>
      </c>
      <c r="M1044" s="31">
        <v>350</v>
      </c>
      <c r="N1044" s="31">
        <v>1545557.1500000001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1">
        <v>0</v>
      </c>
      <c r="X1044" s="31">
        <v>0</v>
      </c>
      <c r="Y1044" s="31">
        <v>0</v>
      </c>
      <c r="Z1044" s="31">
        <v>0</v>
      </c>
      <c r="AA1044" s="31">
        <v>0</v>
      </c>
      <c r="AB1044" s="31">
        <v>0</v>
      </c>
      <c r="AC1044" s="31">
        <f>ROUND(N1044*1.5%,2)</f>
        <v>23183.360000000001</v>
      </c>
      <c r="AD1044" s="31">
        <v>0</v>
      </c>
      <c r="AE1044" s="31">
        <v>0</v>
      </c>
      <c r="AF1044" s="34" t="s">
        <v>274</v>
      </c>
      <c r="AG1044" s="34">
        <v>2022</v>
      </c>
      <c r="AH1044" s="35">
        <v>2022</v>
      </c>
      <c r="AT1044" s="20" t="e">
        <f t="shared" si="236"/>
        <v>#N/A</v>
      </c>
      <c r="BZ1044" s="71"/>
    </row>
    <row r="1045" spans="1:78" ht="61.5" x14ac:dyDescent="0.85">
      <c r="A1045" s="20">
        <v>1</v>
      </c>
      <c r="B1045" s="66">
        <f>SUBTOTAL(103,$A$963:A1045)</f>
        <v>81</v>
      </c>
      <c r="C1045" s="24" t="s">
        <v>209</v>
      </c>
      <c r="D1045" s="31">
        <f t="shared" si="237"/>
        <v>4671497.92</v>
      </c>
      <c r="E1045" s="31">
        <v>0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3">
        <v>0</v>
      </c>
      <c r="L1045" s="31">
        <v>0</v>
      </c>
      <c r="M1045" s="31">
        <v>999</v>
      </c>
      <c r="N1045" s="31">
        <v>4602461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1">
        <v>0</v>
      </c>
      <c r="Y1045" s="31">
        <v>0</v>
      </c>
      <c r="Z1045" s="31">
        <v>0</v>
      </c>
      <c r="AA1045" s="31">
        <v>0</v>
      </c>
      <c r="AB1045" s="31">
        <v>0</v>
      </c>
      <c r="AC1045" s="31">
        <f>ROUND(N1045*1.5%,2)</f>
        <v>69036.92</v>
      </c>
      <c r="AD1045" s="31">
        <v>0</v>
      </c>
      <c r="AE1045" s="31">
        <v>0</v>
      </c>
      <c r="AF1045" s="34" t="s">
        <v>274</v>
      </c>
      <c r="AG1045" s="34">
        <v>2022</v>
      </c>
      <c r="AH1045" s="35">
        <v>2022</v>
      </c>
      <c r="AT1045" s="20" t="e">
        <f t="shared" si="236"/>
        <v>#N/A</v>
      </c>
      <c r="BZ1045" s="71"/>
    </row>
    <row r="1046" spans="1:78" ht="61.5" x14ac:dyDescent="0.85">
      <c r="A1046" s="20">
        <v>1</v>
      </c>
      <c r="B1046" s="66">
        <f>SUBTOTAL(103,$A$963:A1046)</f>
        <v>82</v>
      </c>
      <c r="C1046" s="24" t="s">
        <v>210</v>
      </c>
      <c r="D1046" s="31">
        <f t="shared" si="237"/>
        <v>457907</v>
      </c>
      <c r="E1046" s="31">
        <v>0</v>
      </c>
      <c r="F1046" s="31">
        <v>0</v>
      </c>
      <c r="G1046" s="31">
        <v>0</v>
      </c>
      <c r="H1046" s="31">
        <v>0</v>
      </c>
      <c r="I1046" s="31">
        <v>451139.9</v>
      </c>
      <c r="J1046" s="31">
        <v>0</v>
      </c>
      <c r="K1046" s="33">
        <v>0</v>
      </c>
      <c r="L1046" s="31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1">
        <v>0</v>
      </c>
      <c r="Y1046" s="31">
        <v>0</v>
      </c>
      <c r="Z1046" s="31">
        <v>0</v>
      </c>
      <c r="AA1046" s="31">
        <v>0</v>
      </c>
      <c r="AB1046" s="31">
        <v>0</v>
      </c>
      <c r="AC1046" s="31">
        <f>ROUND((E1046+F1046+G1046+H1046+I1046+J1046)*1.5%,2)</f>
        <v>6767.1</v>
      </c>
      <c r="AD1046" s="31">
        <v>0</v>
      </c>
      <c r="AE1046" s="31">
        <v>0</v>
      </c>
      <c r="AF1046" s="34" t="s">
        <v>274</v>
      </c>
      <c r="AG1046" s="34">
        <v>2022</v>
      </c>
      <c r="AH1046" s="35">
        <v>2022</v>
      </c>
      <c r="AT1046" s="20" t="e">
        <f t="shared" si="236"/>
        <v>#N/A</v>
      </c>
      <c r="BZ1046" s="71"/>
    </row>
    <row r="1047" spans="1:78" ht="61.5" x14ac:dyDescent="0.85">
      <c r="A1047" s="20">
        <v>1</v>
      </c>
      <c r="B1047" s="66">
        <f>SUBTOTAL(103,$A$963:A1047)</f>
        <v>83</v>
      </c>
      <c r="C1047" s="24" t="s">
        <v>211</v>
      </c>
      <c r="D1047" s="31">
        <f t="shared" si="237"/>
        <v>632281</v>
      </c>
      <c r="E1047" s="31">
        <v>0</v>
      </c>
      <c r="F1047" s="31">
        <v>0</v>
      </c>
      <c r="G1047" s="31">
        <v>0</v>
      </c>
      <c r="H1047" s="31">
        <v>0</v>
      </c>
      <c r="I1047" s="31">
        <v>622936.94999999995</v>
      </c>
      <c r="J1047" s="31">
        <v>0</v>
      </c>
      <c r="K1047" s="33">
        <v>0</v>
      </c>
      <c r="L1047" s="31">
        <v>0</v>
      </c>
      <c r="M1047" s="31">
        <v>0</v>
      </c>
      <c r="N1047" s="31">
        <v>0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0</v>
      </c>
      <c r="U1047" s="31">
        <v>0</v>
      </c>
      <c r="V1047" s="31">
        <v>0</v>
      </c>
      <c r="W1047" s="31">
        <v>0</v>
      </c>
      <c r="X1047" s="31">
        <v>0</v>
      </c>
      <c r="Y1047" s="31">
        <v>0</v>
      </c>
      <c r="Z1047" s="31">
        <v>0</v>
      </c>
      <c r="AA1047" s="31">
        <v>0</v>
      </c>
      <c r="AB1047" s="31">
        <v>0</v>
      </c>
      <c r="AC1047" s="31">
        <f>ROUND((E1047+F1047+G1047+H1047+I1047+J1047)*1.5%,2)</f>
        <v>9344.0499999999993</v>
      </c>
      <c r="AD1047" s="31">
        <v>0</v>
      </c>
      <c r="AE1047" s="31">
        <v>0</v>
      </c>
      <c r="AF1047" s="34" t="s">
        <v>274</v>
      </c>
      <c r="AG1047" s="34">
        <v>2022</v>
      </c>
      <c r="AH1047" s="35">
        <v>2022</v>
      </c>
      <c r="AT1047" s="20" t="e">
        <f t="shared" si="236"/>
        <v>#N/A</v>
      </c>
      <c r="BZ1047" s="71"/>
    </row>
    <row r="1048" spans="1:78" ht="61.5" x14ac:dyDescent="0.85">
      <c r="A1048" s="20">
        <v>1</v>
      </c>
      <c r="B1048" s="66">
        <f>SUBTOTAL(103,$A$963:A1048)</f>
        <v>84</v>
      </c>
      <c r="C1048" s="24" t="s">
        <v>212</v>
      </c>
      <c r="D1048" s="31">
        <f t="shared" si="237"/>
        <v>731529</v>
      </c>
      <c r="E1048" s="31">
        <v>0</v>
      </c>
      <c r="F1048" s="31">
        <v>0</v>
      </c>
      <c r="G1048" s="31">
        <v>0</v>
      </c>
      <c r="H1048" s="31">
        <v>0</v>
      </c>
      <c r="I1048" s="31">
        <v>720718.23</v>
      </c>
      <c r="J1048" s="31">
        <v>0</v>
      </c>
      <c r="K1048" s="33">
        <v>0</v>
      </c>
      <c r="L1048" s="31">
        <v>0</v>
      </c>
      <c r="M1048" s="31">
        <v>0</v>
      </c>
      <c r="N1048" s="31">
        <v>0</v>
      </c>
      <c r="O1048" s="31">
        <v>0</v>
      </c>
      <c r="P1048" s="31">
        <v>0</v>
      </c>
      <c r="Q1048" s="31">
        <v>0</v>
      </c>
      <c r="R1048" s="31">
        <v>0</v>
      </c>
      <c r="S1048" s="31">
        <v>0</v>
      </c>
      <c r="T1048" s="31">
        <v>0</v>
      </c>
      <c r="U1048" s="31">
        <v>0</v>
      </c>
      <c r="V1048" s="31">
        <v>0</v>
      </c>
      <c r="W1048" s="31">
        <v>0</v>
      </c>
      <c r="X1048" s="31">
        <v>0</v>
      </c>
      <c r="Y1048" s="31">
        <v>0</v>
      </c>
      <c r="Z1048" s="31">
        <v>0</v>
      </c>
      <c r="AA1048" s="31">
        <v>0</v>
      </c>
      <c r="AB1048" s="31">
        <v>0</v>
      </c>
      <c r="AC1048" s="31">
        <f>ROUND((E1048+F1048+G1048+H1048+I1048+J1048)*1.5%,2)</f>
        <v>10810.77</v>
      </c>
      <c r="AD1048" s="31">
        <v>0</v>
      </c>
      <c r="AE1048" s="31">
        <v>0</v>
      </c>
      <c r="AF1048" s="34" t="s">
        <v>274</v>
      </c>
      <c r="AG1048" s="34">
        <v>2022</v>
      </c>
      <c r="AH1048" s="35">
        <v>2022</v>
      </c>
      <c r="AT1048" s="20" t="e">
        <f t="shared" si="236"/>
        <v>#N/A</v>
      </c>
      <c r="BZ1048" s="71"/>
    </row>
    <row r="1049" spans="1:78" ht="61.5" x14ac:dyDescent="0.85">
      <c r="A1049" s="20">
        <v>1</v>
      </c>
      <c r="B1049" s="66">
        <f>SUBTOTAL(103,$A$963:A1049)</f>
        <v>85</v>
      </c>
      <c r="C1049" s="24" t="s">
        <v>441</v>
      </c>
      <c r="D1049" s="31">
        <f t="shared" si="237"/>
        <v>4760772.24</v>
      </c>
      <c r="E1049" s="31">
        <v>0</v>
      </c>
      <c r="F1049" s="31">
        <v>0</v>
      </c>
      <c r="G1049" s="31">
        <v>0</v>
      </c>
      <c r="H1049" s="31">
        <v>0</v>
      </c>
      <c r="I1049" s="31">
        <v>0</v>
      </c>
      <c r="J1049" s="31">
        <v>0</v>
      </c>
      <c r="K1049" s="33">
        <v>0</v>
      </c>
      <c r="L1049" s="31">
        <v>0</v>
      </c>
      <c r="M1049" s="31">
        <v>1024</v>
      </c>
      <c r="N1049" s="31">
        <v>4690416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0</v>
      </c>
      <c r="U1049" s="31">
        <v>0</v>
      </c>
      <c r="V1049" s="31">
        <v>0</v>
      </c>
      <c r="W1049" s="31">
        <v>0</v>
      </c>
      <c r="X1049" s="31">
        <v>0</v>
      </c>
      <c r="Y1049" s="31">
        <v>0</v>
      </c>
      <c r="Z1049" s="31">
        <v>0</v>
      </c>
      <c r="AA1049" s="31">
        <v>0</v>
      </c>
      <c r="AB1049" s="31">
        <v>0</v>
      </c>
      <c r="AC1049" s="31">
        <f>ROUND(N1049*1.5%,2)</f>
        <v>70356.240000000005</v>
      </c>
      <c r="AD1049" s="31">
        <v>0</v>
      </c>
      <c r="AE1049" s="31">
        <v>0</v>
      </c>
      <c r="AF1049" s="34" t="s">
        <v>274</v>
      </c>
      <c r="AG1049" s="34">
        <v>2022</v>
      </c>
      <c r="AH1049" s="35">
        <v>2022</v>
      </c>
      <c r="AT1049" s="20" t="e">
        <f t="shared" si="236"/>
        <v>#N/A</v>
      </c>
      <c r="BZ1049" s="71"/>
    </row>
    <row r="1050" spans="1:78" ht="61.5" x14ac:dyDescent="0.85">
      <c r="A1050" s="20">
        <v>1</v>
      </c>
      <c r="B1050" s="66">
        <f>SUBTOTAL(103,$A$963:A1050)</f>
        <v>86</v>
      </c>
      <c r="C1050" s="24" t="s">
        <v>442</v>
      </c>
      <c r="D1050" s="31">
        <f t="shared" si="237"/>
        <v>4331631.53</v>
      </c>
      <c r="E1050" s="31">
        <v>0</v>
      </c>
      <c r="F1050" s="31">
        <v>0</v>
      </c>
      <c r="G1050" s="31">
        <v>0</v>
      </c>
      <c r="H1050" s="31">
        <v>0</v>
      </c>
      <c r="I1050" s="31">
        <v>0</v>
      </c>
      <c r="J1050" s="31">
        <v>0</v>
      </c>
      <c r="K1050" s="33">
        <v>2</v>
      </c>
      <c r="L1050" s="31">
        <v>4331631.53</v>
      </c>
      <c r="M1050" s="31">
        <v>0</v>
      </c>
      <c r="N1050" s="31">
        <v>0</v>
      </c>
      <c r="O1050" s="31">
        <v>0</v>
      </c>
      <c r="P1050" s="31">
        <v>0</v>
      </c>
      <c r="Q1050" s="31">
        <v>0</v>
      </c>
      <c r="R1050" s="31">
        <v>0</v>
      </c>
      <c r="S1050" s="31">
        <v>0</v>
      </c>
      <c r="T1050" s="31">
        <v>0</v>
      </c>
      <c r="U1050" s="31">
        <v>0</v>
      </c>
      <c r="V1050" s="31">
        <v>0</v>
      </c>
      <c r="W1050" s="31">
        <v>0</v>
      </c>
      <c r="X1050" s="31">
        <v>0</v>
      </c>
      <c r="Y1050" s="31">
        <v>0</v>
      </c>
      <c r="Z1050" s="31">
        <v>0</v>
      </c>
      <c r="AA1050" s="31">
        <v>0</v>
      </c>
      <c r="AB1050" s="31">
        <v>0</v>
      </c>
      <c r="AC1050" s="31">
        <v>0</v>
      </c>
      <c r="AD1050" s="31">
        <v>0</v>
      </c>
      <c r="AE1050" s="31">
        <v>0</v>
      </c>
      <c r="AF1050" s="34" t="s">
        <v>274</v>
      </c>
      <c r="AG1050" s="34">
        <v>2022</v>
      </c>
      <c r="AH1050" s="35" t="s">
        <v>274</v>
      </c>
      <c r="AT1050" s="20">
        <f t="shared" si="236"/>
        <v>1</v>
      </c>
      <c r="BZ1050" s="71"/>
    </row>
    <row r="1051" spans="1:78" ht="61.5" x14ac:dyDescent="0.85">
      <c r="A1051" s="20">
        <v>1</v>
      </c>
      <c r="B1051" s="66">
        <f>SUBTOTAL(103,$A$963:A1051)</f>
        <v>87</v>
      </c>
      <c r="C1051" s="24" t="s">
        <v>443</v>
      </c>
      <c r="D1051" s="31">
        <f t="shared" si="237"/>
        <v>2789948.7</v>
      </c>
      <c r="E1051" s="31">
        <v>0</v>
      </c>
      <c r="F1051" s="31">
        <v>0</v>
      </c>
      <c r="G1051" s="31">
        <v>0</v>
      </c>
      <c r="H1051" s="31">
        <v>0</v>
      </c>
      <c r="I1051" s="31">
        <v>0</v>
      </c>
      <c r="J1051" s="31">
        <v>0</v>
      </c>
      <c r="K1051" s="33">
        <v>0</v>
      </c>
      <c r="L1051" s="31">
        <v>0</v>
      </c>
      <c r="M1051" s="31">
        <v>600</v>
      </c>
      <c r="N1051" s="31">
        <v>2748717.93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1">
        <v>0</v>
      </c>
      <c r="X1051" s="31">
        <v>0</v>
      </c>
      <c r="Y1051" s="31">
        <v>0</v>
      </c>
      <c r="Z1051" s="31">
        <v>0</v>
      </c>
      <c r="AA1051" s="31">
        <v>0</v>
      </c>
      <c r="AB1051" s="31">
        <v>0</v>
      </c>
      <c r="AC1051" s="31">
        <f t="shared" ref="AC1051:AC1058" si="238">ROUND(N1051*1.5%,2)</f>
        <v>41230.769999999997</v>
      </c>
      <c r="AD1051" s="31">
        <v>0</v>
      </c>
      <c r="AE1051" s="31">
        <v>0</v>
      </c>
      <c r="AF1051" s="34" t="s">
        <v>274</v>
      </c>
      <c r="AG1051" s="34">
        <v>2022</v>
      </c>
      <c r="AH1051" s="35">
        <v>2022</v>
      </c>
      <c r="AT1051" s="20" t="e">
        <f t="shared" si="236"/>
        <v>#N/A</v>
      </c>
      <c r="BZ1051" s="71"/>
    </row>
    <row r="1052" spans="1:78" ht="61.5" x14ac:dyDescent="0.85">
      <c r="A1052" s="20">
        <v>1</v>
      </c>
      <c r="B1052" s="66">
        <f>SUBTOTAL(103,$A$963:A1052)</f>
        <v>88</v>
      </c>
      <c r="C1052" s="24" t="s">
        <v>444</v>
      </c>
      <c r="D1052" s="31">
        <f t="shared" si="237"/>
        <v>3242314.75</v>
      </c>
      <c r="E1052" s="31">
        <v>0</v>
      </c>
      <c r="F1052" s="31">
        <v>0</v>
      </c>
      <c r="G1052" s="31">
        <v>0</v>
      </c>
      <c r="H1052" s="31">
        <v>0</v>
      </c>
      <c r="I1052" s="31">
        <v>0</v>
      </c>
      <c r="J1052" s="31">
        <v>0</v>
      </c>
      <c r="K1052" s="33">
        <v>0</v>
      </c>
      <c r="L1052" s="31">
        <v>0</v>
      </c>
      <c r="M1052" s="31">
        <v>747</v>
      </c>
      <c r="N1052" s="31">
        <v>3194398.77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1">
        <v>0</v>
      </c>
      <c r="Y1052" s="31">
        <v>0</v>
      </c>
      <c r="Z1052" s="31">
        <v>0</v>
      </c>
      <c r="AA1052" s="31">
        <v>0</v>
      </c>
      <c r="AB1052" s="31">
        <v>0</v>
      </c>
      <c r="AC1052" s="31">
        <f t="shared" si="238"/>
        <v>47915.98</v>
      </c>
      <c r="AD1052" s="31">
        <v>0</v>
      </c>
      <c r="AE1052" s="31">
        <v>0</v>
      </c>
      <c r="AF1052" s="34" t="s">
        <v>274</v>
      </c>
      <c r="AG1052" s="34">
        <v>2022</v>
      </c>
      <c r="AH1052" s="35">
        <v>2022</v>
      </c>
      <c r="AT1052" s="20" t="e">
        <f t="shared" si="236"/>
        <v>#N/A</v>
      </c>
      <c r="BZ1052" s="71"/>
    </row>
    <row r="1053" spans="1:78" ht="61.5" x14ac:dyDescent="0.85">
      <c r="A1053" s="20">
        <v>1</v>
      </c>
      <c r="B1053" s="66">
        <f>SUBTOTAL(103,$A$963:A1053)</f>
        <v>89</v>
      </c>
      <c r="C1053" s="24" t="s">
        <v>445</v>
      </c>
      <c r="D1053" s="31">
        <f t="shared" si="237"/>
        <v>2210461.9000000004</v>
      </c>
      <c r="E1053" s="31">
        <v>0</v>
      </c>
      <c r="F1053" s="31">
        <v>0</v>
      </c>
      <c r="G1053" s="31">
        <v>0</v>
      </c>
      <c r="H1053" s="31">
        <v>0</v>
      </c>
      <c r="I1053" s="31">
        <v>0</v>
      </c>
      <c r="J1053" s="31">
        <v>0</v>
      </c>
      <c r="K1053" s="33">
        <v>0</v>
      </c>
      <c r="L1053" s="31">
        <v>0</v>
      </c>
      <c r="M1053" s="31">
        <v>483</v>
      </c>
      <c r="N1053" s="31">
        <v>2177794.9800000004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1">
        <v>0</v>
      </c>
      <c r="X1053" s="31">
        <v>0</v>
      </c>
      <c r="Y1053" s="31">
        <v>0</v>
      </c>
      <c r="Z1053" s="31">
        <v>0</v>
      </c>
      <c r="AA1053" s="31">
        <v>0</v>
      </c>
      <c r="AB1053" s="31">
        <v>0</v>
      </c>
      <c r="AC1053" s="31">
        <f t="shared" si="238"/>
        <v>32666.92</v>
      </c>
      <c r="AD1053" s="31">
        <v>0</v>
      </c>
      <c r="AE1053" s="31">
        <v>0</v>
      </c>
      <c r="AF1053" s="34" t="s">
        <v>274</v>
      </c>
      <c r="AG1053" s="34">
        <v>2022</v>
      </c>
      <c r="AH1053" s="35">
        <v>2022</v>
      </c>
      <c r="AT1053" s="20" t="e">
        <f t="shared" si="236"/>
        <v>#N/A</v>
      </c>
      <c r="BZ1053" s="71"/>
    </row>
    <row r="1054" spans="1:78" ht="61.5" x14ac:dyDescent="0.85">
      <c r="A1054" s="20">
        <v>1</v>
      </c>
      <c r="B1054" s="66">
        <f>SUBTOTAL(103,$A$963:A1054)</f>
        <v>90</v>
      </c>
      <c r="C1054" s="24" t="s">
        <v>446</v>
      </c>
      <c r="D1054" s="31">
        <f t="shared" si="237"/>
        <v>7557284.3099999996</v>
      </c>
      <c r="E1054" s="31">
        <v>0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3">
        <v>0</v>
      </c>
      <c r="L1054" s="31">
        <v>0</v>
      </c>
      <c r="M1054" s="31">
        <v>1501</v>
      </c>
      <c r="N1054" s="31">
        <v>7445600.3099999996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1">
        <v>0</v>
      </c>
      <c r="Y1054" s="31">
        <v>0</v>
      </c>
      <c r="Z1054" s="31">
        <v>0</v>
      </c>
      <c r="AA1054" s="31">
        <v>0</v>
      </c>
      <c r="AB1054" s="31">
        <v>0</v>
      </c>
      <c r="AC1054" s="31">
        <f t="shared" si="238"/>
        <v>111684</v>
      </c>
      <c r="AD1054" s="31">
        <v>0</v>
      </c>
      <c r="AE1054" s="31">
        <v>0</v>
      </c>
      <c r="AF1054" s="34" t="s">
        <v>274</v>
      </c>
      <c r="AG1054" s="34">
        <v>2022</v>
      </c>
      <c r="AH1054" s="35">
        <v>2022</v>
      </c>
      <c r="AT1054" s="20" t="e">
        <f t="shared" si="236"/>
        <v>#N/A</v>
      </c>
      <c r="BZ1054" s="71"/>
    </row>
    <row r="1055" spans="1:78" ht="61.5" x14ac:dyDescent="0.85">
      <c r="A1055" s="20">
        <v>1</v>
      </c>
      <c r="B1055" s="66">
        <f>SUBTOTAL(103,$A$963:A1055)</f>
        <v>91</v>
      </c>
      <c r="C1055" s="24" t="s">
        <v>447</v>
      </c>
      <c r="D1055" s="31">
        <f t="shared" si="237"/>
        <v>3073377.74</v>
      </c>
      <c r="E1055" s="31">
        <v>0</v>
      </c>
      <c r="F1055" s="31">
        <v>0</v>
      </c>
      <c r="G1055" s="31">
        <v>0</v>
      </c>
      <c r="H1055" s="31">
        <v>0</v>
      </c>
      <c r="I1055" s="31">
        <v>0</v>
      </c>
      <c r="J1055" s="31">
        <v>0</v>
      </c>
      <c r="K1055" s="33">
        <v>0</v>
      </c>
      <c r="L1055" s="31">
        <v>0</v>
      </c>
      <c r="M1055" s="31">
        <v>600</v>
      </c>
      <c r="N1055" s="31">
        <v>3027958.3600000003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0</v>
      </c>
      <c r="U1055" s="31">
        <v>0</v>
      </c>
      <c r="V1055" s="31">
        <v>0</v>
      </c>
      <c r="W1055" s="31">
        <v>0</v>
      </c>
      <c r="X1055" s="31">
        <v>0</v>
      </c>
      <c r="Y1055" s="31">
        <v>0</v>
      </c>
      <c r="Z1055" s="31">
        <v>0</v>
      </c>
      <c r="AA1055" s="31">
        <v>0</v>
      </c>
      <c r="AB1055" s="31">
        <v>0</v>
      </c>
      <c r="AC1055" s="31">
        <f t="shared" si="238"/>
        <v>45419.38</v>
      </c>
      <c r="AD1055" s="31">
        <v>0</v>
      </c>
      <c r="AE1055" s="31">
        <v>0</v>
      </c>
      <c r="AF1055" s="34" t="s">
        <v>274</v>
      </c>
      <c r="AG1055" s="34">
        <v>2022</v>
      </c>
      <c r="AH1055" s="35">
        <v>2022</v>
      </c>
      <c r="AT1055" s="20" t="e">
        <f t="shared" si="236"/>
        <v>#N/A</v>
      </c>
      <c r="BZ1055" s="71"/>
    </row>
    <row r="1056" spans="1:78" ht="61.5" x14ac:dyDescent="0.85">
      <c r="A1056" s="20">
        <v>1</v>
      </c>
      <c r="B1056" s="66">
        <f>SUBTOTAL(103,$A$963:A1056)</f>
        <v>92</v>
      </c>
      <c r="C1056" s="24" t="s">
        <v>448</v>
      </c>
      <c r="D1056" s="31">
        <f t="shared" si="237"/>
        <v>1665415</v>
      </c>
      <c r="E1056" s="31">
        <v>0</v>
      </c>
      <c r="F1056" s="31">
        <v>0</v>
      </c>
      <c r="G1056" s="31">
        <v>0</v>
      </c>
      <c r="H1056" s="31">
        <v>0</v>
      </c>
      <c r="I1056" s="31">
        <v>0</v>
      </c>
      <c r="J1056" s="31">
        <v>0</v>
      </c>
      <c r="K1056" s="33">
        <v>0</v>
      </c>
      <c r="L1056" s="31">
        <v>0</v>
      </c>
      <c r="M1056" s="31">
        <v>369</v>
      </c>
      <c r="N1056" s="31">
        <v>1640802.96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  <c r="V1056" s="31">
        <v>0</v>
      </c>
      <c r="W1056" s="31">
        <v>0</v>
      </c>
      <c r="X1056" s="31">
        <v>0</v>
      </c>
      <c r="Y1056" s="31">
        <v>0</v>
      </c>
      <c r="Z1056" s="31">
        <v>0</v>
      </c>
      <c r="AA1056" s="31">
        <v>0</v>
      </c>
      <c r="AB1056" s="31">
        <v>0</v>
      </c>
      <c r="AC1056" s="31">
        <f t="shared" si="238"/>
        <v>24612.04</v>
      </c>
      <c r="AD1056" s="31">
        <v>0</v>
      </c>
      <c r="AE1056" s="31">
        <v>0</v>
      </c>
      <c r="AF1056" s="34" t="s">
        <v>274</v>
      </c>
      <c r="AG1056" s="34">
        <v>2022</v>
      </c>
      <c r="AH1056" s="35">
        <v>2022</v>
      </c>
      <c r="AT1056" s="20" t="e">
        <f t="shared" si="236"/>
        <v>#N/A</v>
      </c>
      <c r="BZ1056" s="71"/>
    </row>
    <row r="1057" spans="1:78" ht="61.5" x14ac:dyDescent="0.85">
      <c r="A1057" s="20">
        <v>1</v>
      </c>
      <c r="B1057" s="66">
        <f>SUBTOTAL(103,$A$963:A1057)</f>
        <v>93</v>
      </c>
      <c r="C1057" s="24" t="s">
        <v>214</v>
      </c>
      <c r="D1057" s="31">
        <f t="shared" si="237"/>
        <v>2384110.7700000005</v>
      </c>
      <c r="E1057" s="31">
        <v>0</v>
      </c>
      <c r="F1057" s="31">
        <v>0</v>
      </c>
      <c r="G1057" s="31">
        <v>0</v>
      </c>
      <c r="H1057" s="31">
        <v>0</v>
      </c>
      <c r="I1057" s="31">
        <v>0</v>
      </c>
      <c r="J1057" s="31">
        <v>0</v>
      </c>
      <c r="K1057" s="33">
        <v>0</v>
      </c>
      <c r="L1057" s="31">
        <v>0</v>
      </c>
      <c r="M1057" s="31">
        <v>525</v>
      </c>
      <c r="N1057" s="31">
        <v>2348877.6100000003</v>
      </c>
      <c r="O1057" s="31">
        <v>0</v>
      </c>
      <c r="P1057" s="31">
        <v>0</v>
      </c>
      <c r="Q1057" s="31">
        <v>0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1">
        <v>0</v>
      </c>
      <c r="Y1057" s="31">
        <v>0</v>
      </c>
      <c r="Z1057" s="31">
        <v>0</v>
      </c>
      <c r="AA1057" s="31">
        <v>0</v>
      </c>
      <c r="AB1057" s="31">
        <v>0</v>
      </c>
      <c r="AC1057" s="31">
        <f t="shared" si="238"/>
        <v>35233.160000000003</v>
      </c>
      <c r="AD1057" s="31">
        <v>0</v>
      </c>
      <c r="AE1057" s="31">
        <v>0</v>
      </c>
      <c r="AF1057" s="34" t="s">
        <v>274</v>
      </c>
      <c r="AG1057" s="34">
        <v>2022</v>
      </c>
      <c r="AH1057" s="35">
        <v>2022</v>
      </c>
      <c r="AT1057" s="20" t="e">
        <f t="shared" si="236"/>
        <v>#N/A</v>
      </c>
      <c r="BZ1057" s="71"/>
    </row>
    <row r="1058" spans="1:78" ht="61.5" x14ac:dyDescent="0.85">
      <c r="A1058" s="20">
        <v>1</v>
      </c>
      <c r="B1058" s="66">
        <f>SUBTOTAL(103,$A$963:A1058)</f>
        <v>94</v>
      </c>
      <c r="C1058" s="24" t="s">
        <v>213</v>
      </c>
      <c r="D1058" s="31">
        <f t="shared" si="237"/>
        <v>2817533.3499999996</v>
      </c>
      <c r="E1058" s="31">
        <v>0</v>
      </c>
      <c r="F1058" s="31">
        <v>0</v>
      </c>
      <c r="G1058" s="31">
        <v>0</v>
      </c>
      <c r="H1058" s="31">
        <v>0</v>
      </c>
      <c r="I1058" s="31">
        <v>0</v>
      </c>
      <c r="J1058" s="31">
        <v>0</v>
      </c>
      <c r="K1058" s="33">
        <v>0</v>
      </c>
      <c r="L1058" s="31">
        <v>0</v>
      </c>
      <c r="M1058" s="31">
        <v>614</v>
      </c>
      <c r="N1058" s="31">
        <v>2775894.9299999997</v>
      </c>
      <c r="O1058" s="31">
        <v>0</v>
      </c>
      <c r="P1058" s="31">
        <v>0</v>
      </c>
      <c r="Q1058" s="31">
        <v>0</v>
      </c>
      <c r="R1058" s="31">
        <v>0</v>
      </c>
      <c r="S1058" s="31">
        <v>0</v>
      </c>
      <c r="T1058" s="31">
        <v>0</v>
      </c>
      <c r="U1058" s="31">
        <v>0</v>
      </c>
      <c r="V1058" s="31">
        <v>0</v>
      </c>
      <c r="W1058" s="31">
        <v>0</v>
      </c>
      <c r="X1058" s="31">
        <v>0</v>
      </c>
      <c r="Y1058" s="31">
        <v>0</v>
      </c>
      <c r="Z1058" s="31">
        <v>0</v>
      </c>
      <c r="AA1058" s="31">
        <v>0</v>
      </c>
      <c r="AB1058" s="31">
        <v>0</v>
      </c>
      <c r="AC1058" s="31">
        <f t="shared" si="238"/>
        <v>41638.42</v>
      </c>
      <c r="AD1058" s="31">
        <v>0</v>
      </c>
      <c r="AE1058" s="31">
        <v>0</v>
      </c>
      <c r="AF1058" s="34" t="s">
        <v>274</v>
      </c>
      <c r="AG1058" s="34">
        <v>2022</v>
      </c>
      <c r="AH1058" s="35">
        <v>2022</v>
      </c>
      <c r="AT1058" s="20" t="e">
        <f t="shared" si="236"/>
        <v>#N/A</v>
      </c>
      <c r="BZ1058" s="71"/>
    </row>
    <row r="1059" spans="1:78" ht="61.5" x14ac:dyDescent="0.85">
      <c r="A1059" s="20">
        <v>1</v>
      </c>
      <c r="B1059" s="66">
        <f>SUBTOTAL(103,$A$963:A1059)</f>
        <v>95</v>
      </c>
      <c r="C1059" s="24" t="s">
        <v>450</v>
      </c>
      <c r="D1059" s="31">
        <f t="shared" si="237"/>
        <v>1660239.97</v>
      </c>
      <c r="E1059" s="31">
        <v>0</v>
      </c>
      <c r="F1059" s="31">
        <v>0</v>
      </c>
      <c r="G1059" s="31">
        <v>0</v>
      </c>
      <c r="H1059" s="31">
        <v>0</v>
      </c>
      <c r="I1059" s="31">
        <v>0</v>
      </c>
      <c r="J1059" s="31">
        <v>0</v>
      </c>
      <c r="K1059" s="33">
        <v>0</v>
      </c>
      <c r="L1059" s="31">
        <v>0</v>
      </c>
      <c r="M1059" s="31">
        <v>370</v>
      </c>
      <c r="N1059" s="31">
        <v>1635704.4</v>
      </c>
      <c r="O1059" s="31">
        <v>0</v>
      </c>
      <c r="P1059" s="31">
        <v>0</v>
      </c>
      <c r="Q1059" s="31">
        <v>0</v>
      </c>
      <c r="R1059" s="31">
        <v>0</v>
      </c>
      <c r="S1059" s="31">
        <v>0</v>
      </c>
      <c r="T1059" s="31">
        <v>0</v>
      </c>
      <c r="U1059" s="31">
        <v>0</v>
      </c>
      <c r="V1059" s="31">
        <v>0</v>
      </c>
      <c r="W1059" s="31">
        <v>0</v>
      </c>
      <c r="X1059" s="31">
        <v>0</v>
      </c>
      <c r="Y1059" s="31">
        <v>0</v>
      </c>
      <c r="Z1059" s="31">
        <v>0</v>
      </c>
      <c r="AA1059" s="31">
        <v>0</v>
      </c>
      <c r="AB1059" s="31">
        <v>0</v>
      </c>
      <c r="AC1059" s="31">
        <f>ROUND(N1059*1.5%,2)</f>
        <v>24535.57</v>
      </c>
      <c r="AD1059" s="31">
        <v>0</v>
      </c>
      <c r="AE1059" s="31">
        <v>0</v>
      </c>
      <c r="AF1059" s="34" t="s">
        <v>274</v>
      </c>
      <c r="AG1059" s="34">
        <v>2022</v>
      </c>
      <c r="AH1059" s="35">
        <v>2022</v>
      </c>
      <c r="AT1059" s="20" t="e">
        <f t="shared" si="236"/>
        <v>#N/A</v>
      </c>
      <c r="BZ1059" s="71"/>
    </row>
    <row r="1060" spans="1:78" ht="61.5" x14ac:dyDescent="0.85">
      <c r="A1060" s="20">
        <v>1</v>
      </c>
      <c r="B1060" s="66">
        <f>SUBTOTAL(103,$A$963:A1060)</f>
        <v>96</v>
      </c>
      <c r="C1060" s="24" t="s">
        <v>451</v>
      </c>
      <c r="D1060" s="31">
        <f t="shared" si="237"/>
        <v>2407235.63</v>
      </c>
      <c r="E1060" s="31">
        <v>0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3">
        <v>0</v>
      </c>
      <c r="L1060" s="31">
        <v>0</v>
      </c>
      <c r="M1060" s="31">
        <v>530</v>
      </c>
      <c r="N1060" s="31">
        <v>2371660.7199999997</v>
      </c>
      <c r="O1060" s="31">
        <v>0</v>
      </c>
      <c r="P1060" s="31">
        <v>0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1">
        <v>0</v>
      </c>
      <c r="Y1060" s="31">
        <v>0</v>
      </c>
      <c r="Z1060" s="31">
        <v>0</v>
      </c>
      <c r="AA1060" s="31">
        <v>0</v>
      </c>
      <c r="AB1060" s="31">
        <v>0</v>
      </c>
      <c r="AC1060" s="31">
        <f>ROUND(N1060*1.5%,2)</f>
        <v>35574.910000000003</v>
      </c>
      <c r="AD1060" s="31">
        <v>0</v>
      </c>
      <c r="AE1060" s="31">
        <v>0</v>
      </c>
      <c r="AF1060" s="34" t="s">
        <v>274</v>
      </c>
      <c r="AG1060" s="34">
        <v>2022</v>
      </c>
      <c r="AH1060" s="35">
        <v>2022</v>
      </c>
      <c r="AT1060" s="20" t="e">
        <f t="shared" si="236"/>
        <v>#N/A</v>
      </c>
      <c r="BZ1060" s="71"/>
    </row>
    <row r="1061" spans="1:78" ht="61.5" x14ac:dyDescent="0.85">
      <c r="A1061" s="20">
        <v>1</v>
      </c>
      <c r="B1061" s="66">
        <f>SUBTOTAL(103,$A$963:A1061)</f>
        <v>97</v>
      </c>
      <c r="C1061" s="24" t="s">
        <v>452</v>
      </c>
      <c r="D1061" s="31">
        <f t="shared" si="237"/>
        <v>1790689.27</v>
      </c>
      <c r="E1061" s="31">
        <v>0</v>
      </c>
      <c r="F1061" s="31">
        <v>0</v>
      </c>
      <c r="G1061" s="31">
        <v>0</v>
      </c>
      <c r="H1061" s="31">
        <v>0</v>
      </c>
      <c r="I1061" s="31">
        <v>0</v>
      </c>
      <c r="J1061" s="31">
        <v>0</v>
      </c>
      <c r="K1061" s="33">
        <v>0</v>
      </c>
      <c r="L1061" s="31">
        <v>0</v>
      </c>
      <c r="M1061" s="31">
        <v>396</v>
      </c>
      <c r="N1061" s="31">
        <v>1764225.8800000001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1">
        <v>0</v>
      </c>
      <c r="X1061" s="31">
        <v>0</v>
      </c>
      <c r="Y1061" s="31">
        <v>0</v>
      </c>
      <c r="Z1061" s="31">
        <v>0</v>
      </c>
      <c r="AA1061" s="31">
        <v>0</v>
      </c>
      <c r="AB1061" s="31">
        <v>0</v>
      </c>
      <c r="AC1061" s="31">
        <f>ROUND(N1061*1.5%,2)</f>
        <v>26463.39</v>
      </c>
      <c r="AD1061" s="31">
        <v>0</v>
      </c>
      <c r="AE1061" s="31">
        <v>0</v>
      </c>
      <c r="AF1061" s="34" t="s">
        <v>274</v>
      </c>
      <c r="AG1061" s="34">
        <v>2022</v>
      </c>
      <c r="AH1061" s="35">
        <v>2022</v>
      </c>
      <c r="AT1061" s="20" t="e">
        <f t="shared" si="236"/>
        <v>#N/A</v>
      </c>
      <c r="BZ1061" s="71"/>
    </row>
    <row r="1062" spans="1:78" ht="61.5" x14ac:dyDescent="0.85">
      <c r="A1062" s="20">
        <v>1</v>
      </c>
      <c r="B1062" s="66">
        <f>SUBTOTAL(103,$A$963:A1062)</f>
        <v>98</v>
      </c>
      <c r="C1062" s="24" t="s">
        <v>839</v>
      </c>
      <c r="D1062" s="31">
        <f t="shared" si="237"/>
        <v>6300000</v>
      </c>
      <c r="E1062" s="31">
        <v>0</v>
      </c>
      <c r="F1062" s="31">
        <v>0</v>
      </c>
      <c r="G1062" s="31">
        <v>0</v>
      </c>
      <c r="H1062" s="31">
        <v>0</v>
      </c>
      <c r="I1062" s="31">
        <v>0</v>
      </c>
      <c r="J1062" s="31">
        <v>0</v>
      </c>
      <c r="K1062" s="33">
        <v>3</v>
      </c>
      <c r="L1062" s="31">
        <v>6300000</v>
      </c>
      <c r="M1062" s="31">
        <v>0</v>
      </c>
      <c r="N1062" s="31">
        <v>0</v>
      </c>
      <c r="O1062" s="31">
        <v>0</v>
      </c>
      <c r="P1062" s="31">
        <v>0</v>
      </c>
      <c r="Q1062" s="31">
        <v>0</v>
      </c>
      <c r="R1062" s="31">
        <v>0</v>
      </c>
      <c r="S1062" s="31">
        <v>0</v>
      </c>
      <c r="T1062" s="31">
        <v>0</v>
      </c>
      <c r="U1062" s="31">
        <v>0</v>
      </c>
      <c r="V1062" s="31">
        <v>0</v>
      </c>
      <c r="W1062" s="31">
        <v>0</v>
      </c>
      <c r="X1062" s="31">
        <v>0</v>
      </c>
      <c r="Y1062" s="31">
        <v>0</v>
      </c>
      <c r="Z1062" s="31">
        <v>0</v>
      </c>
      <c r="AA1062" s="31">
        <v>0</v>
      </c>
      <c r="AB1062" s="31">
        <v>0</v>
      </c>
      <c r="AC1062" s="31">
        <v>0</v>
      </c>
      <c r="AD1062" s="31">
        <v>0</v>
      </c>
      <c r="AE1062" s="31">
        <v>0</v>
      </c>
      <c r="AF1062" s="34" t="s">
        <v>274</v>
      </c>
      <c r="AG1062" s="34">
        <v>2022</v>
      </c>
      <c r="AH1062" s="35" t="s">
        <v>274</v>
      </c>
      <c r="AT1062" s="20" t="e">
        <f t="shared" si="236"/>
        <v>#N/A</v>
      </c>
      <c r="BZ1062" s="71"/>
    </row>
    <row r="1063" spans="1:78" ht="61.5" x14ac:dyDescent="0.85">
      <c r="B1063" s="24" t="s">
        <v>806</v>
      </c>
      <c r="C1063" s="24"/>
      <c r="D1063" s="31">
        <f>SUM(D1064:D1074)</f>
        <v>45011140.729999997</v>
      </c>
      <c r="E1063" s="31">
        <f t="shared" ref="E1063:AE1063" si="239">SUM(E1064:E1074)</f>
        <v>0</v>
      </c>
      <c r="F1063" s="31">
        <f t="shared" si="239"/>
        <v>0</v>
      </c>
      <c r="G1063" s="31">
        <f t="shared" si="239"/>
        <v>0</v>
      </c>
      <c r="H1063" s="31">
        <f t="shared" si="239"/>
        <v>0</v>
      </c>
      <c r="I1063" s="31">
        <f t="shared" si="239"/>
        <v>0</v>
      </c>
      <c r="J1063" s="31">
        <f t="shared" si="239"/>
        <v>0</v>
      </c>
      <c r="K1063" s="33">
        <f t="shared" si="239"/>
        <v>4</v>
      </c>
      <c r="L1063" s="31">
        <f t="shared" si="239"/>
        <v>8452796.0600000005</v>
      </c>
      <c r="M1063" s="31">
        <f t="shared" si="239"/>
        <v>7218.5</v>
      </c>
      <c r="N1063" s="31">
        <f t="shared" si="239"/>
        <v>34134436.520000003</v>
      </c>
      <c r="O1063" s="31">
        <f t="shared" si="239"/>
        <v>0</v>
      </c>
      <c r="P1063" s="31">
        <f t="shared" si="239"/>
        <v>0</v>
      </c>
      <c r="Q1063" s="31">
        <f t="shared" si="239"/>
        <v>360</v>
      </c>
      <c r="R1063" s="31">
        <f t="shared" si="239"/>
        <v>1883637.04</v>
      </c>
      <c r="S1063" s="31">
        <f t="shared" si="239"/>
        <v>0</v>
      </c>
      <c r="T1063" s="31">
        <f t="shared" si="239"/>
        <v>0</v>
      </c>
      <c r="U1063" s="31">
        <f t="shared" si="239"/>
        <v>0</v>
      </c>
      <c r="V1063" s="31">
        <f t="shared" si="239"/>
        <v>0</v>
      </c>
      <c r="W1063" s="31">
        <f t="shared" si="239"/>
        <v>0</v>
      </c>
      <c r="X1063" s="31">
        <f t="shared" si="239"/>
        <v>0</v>
      </c>
      <c r="Y1063" s="31">
        <f t="shared" si="239"/>
        <v>0</v>
      </c>
      <c r="Z1063" s="31">
        <f t="shared" si="239"/>
        <v>0</v>
      </c>
      <c r="AA1063" s="31">
        <f t="shared" si="239"/>
        <v>0</v>
      </c>
      <c r="AB1063" s="31">
        <f t="shared" si="239"/>
        <v>0</v>
      </c>
      <c r="AC1063" s="31">
        <f t="shared" si="239"/>
        <v>540271.11</v>
      </c>
      <c r="AD1063" s="31">
        <f t="shared" si="239"/>
        <v>0</v>
      </c>
      <c r="AE1063" s="31">
        <f t="shared" si="239"/>
        <v>0</v>
      </c>
      <c r="AF1063" s="34" t="s">
        <v>776</v>
      </c>
      <c r="AG1063" s="34" t="s">
        <v>776</v>
      </c>
      <c r="AH1063" s="35" t="s">
        <v>776</v>
      </c>
      <c r="AT1063" s="20" t="e">
        <f t="shared" si="236"/>
        <v>#N/A</v>
      </c>
      <c r="BZ1063" s="71">
        <v>46315599.309999995</v>
      </c>
    </row>
    <row r="1064" spans="1:78" ht="61.5" x14ac:dyDescent="0.85">
      <c r="A1064" s="20">
        <v>1</v>
      </c>
      <c r="B1064" s="66">
        <f>SUBTOTAL(103,$A$963:A1064)</f>
        <v>99</v>
      </c>
      <c r="C1064" s="24" t="s">
        <v>807</v>
      </c>
      <c r="D1064" s="31">
        <f t="shared" ref="D1064:D1074" si="240">E1064+F1064+G1064+H1064+I1064+J1064+L1064+N1064+P1064+R1064+T1064+U1064+V1064+W1064+X1064+Y1064+Z1064+AA1064+AB1064+AC1064+AD1064+AE1064</f>
        <v>2532230.7999999998</v>
      </c>
      <c r="E1064" s="31">
        <v>0</v>
      </c>
      <c r="F1064" s="31">
        <v>0</v>
      </c>
      <c r="G1064" s="31">
        <v>0</v>
      </c>
      <c r="H1064" s="31">
        <v>0</v>
      </c>
      <c r="I1064" s="31">
        <v>0</v>
      </c>
      <c r="J1064" s="31">
        <v>0</v>
      </c>
      <c r="K1064" s="33">
        <v>0</v>
      </c>
      <c r="L1064" s="31">
        <v>0</v>
      </c>
      <c r="M1064" s="31">
        <v>506</v>
      </c>
      <c r="N1064" s="31">
        <v>2494808.67</v>
      </c>
      <c r="O1064" s="31">
        <v>0</v>
      </c>
      <c r="P1064" s="31">
        <v>0</v>
      </c>
      <c r="Q1064" s="31">
        <v>0</v>
      </c>
      <c r="R1064" s="31">
        <v>0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1">
        <v>0</v>
      </c>
      <c r="Y1064" s="31">
        <v>0</v>
      </c>
      <c r="Z1064" s="31">
        <v>0</v>
      </c>
      <c r="AA1064" s="31">
        <v>0</v>
      </c>
      <c r="AB1064" s="31">
        <v>0</v>
      </c>
      <c r="AC1064" s="31">
        <f>ROUND(N1064*1.5%,2)</f>
        <v>37422.129999999997</v>
      </c>
      <c r="AD1064" s="31">
        <v>0</v>
      </c>
      <c r="AE1064" s="31">
        <v>0</v>
      </c>
      <c r="AF1064" s="34" t="s">
        <v>274</v>
      </c>
      <c r="AG1064" s="34">
        <v>2022</v>
      </c>
      <c r="AH1064" s="35">
        <v>2022</v>
      </c>
      <c r="AT1064" s="20" t="e">
        <f t="shared" si="236"/>
        <v>#N/A</v>
      </c>
      <c r="BZ1064" s="71"/>
    </row>
    <row r="1065" spans="1:78" ht="61.5" x14ac:dyDescent="0.85">
      <c r="A1065" s="20">
        <v>1</v>
      </c>
      <c r="B1065" s="66">
        <f>SUBTOTAL(103,$A$963:A1065)</f>
        <v>100</v>
      </c>
      <c r="C1065" s="24" t="s">
        <v>808</v>
      </c>
      <c r="D1065" s="31">
        <f t="shared" si="240"/>
        <v>2386020.4</v>
      </c>
      <c r="E1065" s="31">
        <v>0</v>
      </c>
      <c r="F1065" s="31">
        <v>0</v>
      </c>
      <c r="G1065" s="31">
        <v>0</v>
      </c>
      <c r="H1065" s="31">
        <v>0</v>
      </c>
      <c r="I1065" s="31">
        <v>0</v>
      </c>
      <c r="J1065" s="31">
        <v>0</v>
      </c>
      <c r="K1065" s="33">
        <v>0</v>
      </c>
      <c r="L1065" s="31">
        <v>0</v>
      </c>
      <c r="M1065" s="31">
        <v>478</v>
      </c>
      <c r="N1065" s="31">
        <v>2350759.0099999998</v>
      </c>
      <c r="O1065" s="31">
        <v>0</v>
      </c>
      <c r="P1065" s="31">
        <v>0</v>
      </c>
      <c r="Q1065" s="31">
        <v>0</v>
      </c>
      <c r="R1065" s="31">
        <v>0</v>
      </c>
      <c r="S1065" s="31">
        <v>0</v>
      </c>
      <c r="T1065" s="31">
        <v>0</v>
      </c>
      <c r="U1065" s="31">
        <v>0</v>
      </c>
      <c r="V1065" s="31">
        <v>0</v>
      </c>
      <c r="W1065" s="31">
        <v>0</v>
      </c>
      <c r="X1065" s="31">
        <v>0</v>
      </c>
      <c r="Y1065" s="31">
        <v>0</v>
      </c>
      <c r="Z1065" s="31">
        <v>0</v>
      </c>
      <c r="AA1065" s="31">
        <v>0</v>
      </c>
      <c r="AB1065" s="31">
        <v>0</v>
      </c>
      <c r="AC1065" s="31">
        <f>ROUND(N1065*1.5%,2)</f>
        <v>35261.39</v>
      </c>
      <c r="AD1065" s="31">
        <v>0</v>
      </c>
      <c r="AE1065" s="31">
        <v>0</v>
      </c>
      <c r="AF1065" s="34" t="s">
        <v>274</v>
      </c>
      <c r="AG1065" s="34">
        <v>2022</v>
      </c>
      <c r="AH1065" s="35">
        <v>2022</v>
      </c>
      <c r="AT1065" s="20" t="e">
        <f t="shared" si="236"/>
        <v>#N/A</v>
      </c>
      <c r="BZ1065" s="71"/>
    </row>
    <row r="1066" spans="1:78" ht="61.5" x14ac:dyDescent="0.85">
      <c r="A1066" s="20">
        <v>1</v>
      </c>
      <c r="B1066" s="66">
        <f>SUBTOTAL(103,$A$963:A1066)</f>
        <v>101</v>
      </c>
      <c r="C1066" s="24" t="s">
        <v>1104</v>
      </c>
      <c r="D1066" s="31">
        <f t="shared" si="240"/>
        <v>3009600</v>
      </c>
      <c r="E1066" s="31">
        <v>0</v>
      </c>
      <c r="F1066" s="31">
        <v>0</v>
      </c>
      <c r="G1066" s="31">
        <v>0</v>
      </c>
      <c r="H1066" s="31">
        <v>0</v>
      </c>
      <c r="I1066" s="31">
        <v>0</v>
      </c>
      <c r="J1066" s="31">
        <v>0</v>
      </c>
      <c r="K1066" s="33">
        <v>0</v>
      </c>
      <c r="L1066" s="31">
        <v>0</v>
      </c>
      <c r="M1066" s="31">
        <v>627</v>
      </c>
      <c r="N1066" s="31">
        <v>2965123.15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1">
        <v>0</v>
      </c>
      <c r="X1066" s="31">
        <v>0</v>
      </c>
      <c r="Y1066" s="31">
        <v>0</v>
      </c>
      <c r="Z1066" s="31">
        <v>0</v>
      </c>
      <c r="AA1066" s="31">
        <v>0</v>
      </c>
      <c r="AB1066" s="31">
        <v>0</v>
      </c>
      <c r="AC1066" s="31">
        <f>ROUND(N1066*1.5%,2)</f>
        <v>44476.85</v>
      </c>
      <c r="AD1066" s="31">
        <v>0</v>
      </c>
      <c r="AE1066" s="31">
        <v>0</v>
      </c>
      <c r="AF1066" s="34" t="s">
        <v>274</v>
      </c>
      <c r="AG1066" s="34">
        <v>2022</v>
      </c>
      <c r="AH1066" s="35">
        <v>2022</v>
      </c>
      <c r="AT1066" s="20" t="e">
        <f t="shared" si="236"/>
        <v>#N/A</v>
      </c>
      <c r="BZ1066" s="71"/>
    </row>
    <row r="1067" spans="1:78" ht="61.5" x14ac:dyDescent="0.85">
      <c r="A1067" s="20">
        <v>1</v>
      </c>
      <c r="B1067" s="66">
        <f>SUBTOTAL(103,$A$963:A1067)</f>
        <v>102</v>
      </c>
      <c r="C1067" s="24" t="s">
        <v>810</v>
      </c>
      <c r="D1067" s="31">
        <f t="shared" si="240"/>
        <v>8452796.0600000005</v>
      </c>
      <c r="E1067" s="31">
        <v>0</v>
      </c>
      <c r="F1067" s="31">
        <v>0</v>
      </c>
      <c r="G1067" s="31">
        <v>0</v>
      </c>
      <c r="H1067" s="31">
        <v>0</v>
      </c>
      <c r="I1067" s="31">
        <v>0</v>
      </c>
      <c r="J1067" s="31">
        <v>0</v>
      </c>
      <c r="K1067" s="33">
        <v>4</v>
      </c>
      <c r="L1067" s="31">
        <v>8452796.0600000005</v>
      </c>
      <c r="M1067" s="31">
        <v>0</v>
      </c>
      <c r="N1067" s="31">
        <v>0</v>
      </c>
      <c r="O1067" s="31">
        <v>0</v>
      </c>
      <c r="P1067" s="31">
        <v>0</v>
      </c>
      <c r="Q1067" s="31">
        <v>0</v>
      </c>
      <c r="R1067" s="31">
        <v>0</v>
      </c>
      <c r="S1067" s="31">
        <v>0</v>
      </c>
      <c r="T1067" s="31">
        <v>0</v>
      </c>
      <c r="U1067" s="31">
        <v>0</v>
      </c>
      <c r="V1067" s="31">
        <v>0</v>
      </c>
      <c r="W1067" s="31">
        <v>0</v>
      </c>
      <c r="X1067" s="31">
        <v>0</v>
      </c>
      <c r="Y1067" s="31">
        <v>0</v>
      </c>
      <c r="Z1067" s="31">
        <v>0</v>
      </c>
      <c r="AA1067" s="31">
        <v>0</v>
      </c>
      <c r="AB1067" s="31">
        <v>0</v>
      </c>
      <c r="AC1067" s="31">
        <v>0</v>
      </c>
      <c r="AD1067" s="31">
        <v>0</v>
      </c>
      <c r="AE1067" s="31">
        <v>0</v>
      </c>
      <c r="AF1067" s="34" t="s">
        <v>274</v>
      </c>
      <c r="AG1067" s="34">
        <v>2022</v>
      </c>
      <c r="AH1067" s="35" t="s">
        <v>274</v>
      </c>
      <c r="AT1067" s="20" t="e">
        <f t="shared" si="236"/>
        <v>#N/A</v>
      </c>
      <c r="BZ1067" s="71"/>
    </row>
    <row r="1068" spans="1:78" ht="61.5" x14ac:dyDescent="0.85">
      <c r="A1068" s="20">
        <v>1</v>
      </c>
      <c r="B1068" s="66">
        <f>SUBTOTAL(103,$A$963:A1068)</f>
        <v>103</v>
      </c>
      <c r="C1068" s="24" t="s">
        <v>812</v>
      </c>
      <c r="D1068" s="31">
        <f t="shared" si="240"/>
        <v>6961648</v>
      </c>
      <c r="E1068" s="31">
        <v>0</v>
      </c>
      <c r="F1068" s="31">
        <v>0</v>
      </c>
      <c r="G1068" s="31">
        <v>0</v>
      </c>
      <c r="H1068" s="31">
        <v>0</v>
      </c>
      <c r="I1068" s="31">
        <v>0</v>
      </c>
      <c r="J1068" s="31">
        <v>0</v>
      </c>
      <c r="K1068" s="33">
        <v>0</v>
      </c>
      <c r="L1068" s="31">
        <v>0</v>
      </c>
      <c r="M1068" s="31">
        <v>1360</v>
      </c>
      <c r="N1068" s="31">
        <v>6858766.5</v>
      </c>
      <c r="O1068" s="31">
        <v>0</v>
      </c>
      <c r="P1068" s="31">
        <v>0</v>
      </c>
      <c r="Q1068" s="31">
        <v>0</v>
      </c>
      <c r="R1068" s="31">
        <v>0</v>
      </c>
      <c r="S1068" s="31">
        <v>0</v>
      </c>
      <c r="T1068" s="31">
        <v>0</v>
      </c>
      <c r="U1068" s="31">
        <v>0</v>
      </c>
      <c r="V1068" s="31">
        <v>0</v>
      </c>
      <c r="W1068" s="31">
        <v>0</v>
      </c>
      <c r="X1068" s="31">
        <v>0</v>
      </c>
      <c r="Y1068" s="31">
        <v>0</v>
      </c>
      <c r="Z1068" s="31">
        <v>0</v>
      </c>
      <c r="AA1068" s="31">
        <v>0</v>
      </c>
      <c r="AB1068" s="31">
        <v>0</v>
      </c>
      <c r="AC1068" s="31">
        <f>ROUND(N1068*1.5%,2)</f>
        <v>102881.5</v>
      </c>
      <c r="AD1068" s="31">
        <v>0</v>
      </c>
      <c r="AE1068" s="31">
        <v>0</v>
      </c>
      <c r="AF1068" s="34" t="s">
        <v>274</v>
      </c>
      <c r="AG1068" s="34">
        <v>2022</v>
      </c>
      <c r="AH1068" s="35">
        <v>2022</v>
      </c>
      <c r="AT1068" s="20">
        <f t="shared" si="236"/>
        <v>1</v>
      </c>
      <c r="BZ1068" s="71"/>
    </row>
    <row r="1069" spans="1:78" ht="61.5" x14ac:dyDescent="0.85">
      <c r="A1069" s="20">
        <v>1</v>
      </c>
      <c r="B1069" s="66">
        <f>SUBTOTAL(103,$A$963:A1069)</f>
        <v>104</v>
      </c>
      <c r="C1069" s="24" t="s">
        <v>813</v>
      </c>
      <c r="D1069" s="31">
        <f t="shared" si="240"/>
        <v>3278948.1999999997</v>
      </c>
      <c r="E1069" s="31">
        <v>0</v>
      </c>
      <c r="F1069" s="31">
        <v>0</v>
      </c>
      <c r="G1069" s="31">
        <v>0</v>
      </c>
      <c r="H1069" s="31">
        <v>0</v>
      </c>
      <c r="I1069" s="31">
        <v>0</v>
      </c>
      <c r="J1069" s="31">
        <v>0</v>
      </c>
      <c r="K1069" s="33">
        <v>0</v>
      </c>
      <c r="L1069" s="31">
        <v>0</v>
      </c>
      <c r="M1069" s="31">
        <v>649</v>
      </c>
      <c r="N1069" s="31">
        <v>3230490.84</v>
      </c>
      <c r="O1069" s="31">
        <v>0</v>
      </c>
      <c r="P1069" s="31">
        <v>0</v>
      </c>
      <c r="Q1069" s="31">
        <v>0</v>
      </c>
      <c r="R1069" s="31">
        <v>0</v>
      </c>
      <c r="S1069" s="31">
        <v>0</v>
      </c>
      <c r="T1069" s="31">
        <v>0</v>
      </c>
      <c r="U1069" s="31">
        <v>0</v>
      </c>
      <c r="V1069" s="31">
        <v>0</v>
      </c>
      <c r="W1069" s="31">
        <v>0</v>
      </c>
      <c r="X1069" s="31">
        <v>0</v>
      </c>
      <c r="Y1069" s="31">
        <v>0</v>
      </c>
      <c r="Z1069" s="31">
        <v>0</v>
      </c>
      <c r="AA1069" s="31">
        <v>0</v>
      </c>
      <c r="AB1069" s="31">
        <v>0</v>
      </c>
      <c r="AC1069" s="31">
        <f>ROUND(N1069*1.5%,2)</f>
        <v>48457.36</v>
      </c>
      <c r="AD1069" s="31">
        <v>0</v>
      </c>
      <c r="AE1069" s="31">
        <v>0</v>
      </c>
      <c r="AF1069" s="34" t="s">
        <v>274</v>
      </c>
      <c r="AG1069" s="34">
        <v>2022</v>
      </c>
      <c r="AH1069" s="35">
        <v>2022</v>
      </c>
      <c r="AT1069" s="20" t="e">
        <f t="shared" si="236"/>
        <v>#N/A</v>
      </c>
      <c r="BZ1069" s="71"/>
    </row>
    <row r="1070" spans="1:78" ht="61.5" x14ac:dyDescent="0.85">
      <c r="A1070" s="20">
        <v>1</v>
      </c>
      <c r="B1070" s="66">
        <f>SUBTOTAL(103,$A$963:A1070)</f>
        <v>105</v>
      </c>
      <c r="C1070" s="24" t="s">
        <v>814</v>
      </c>
      <c r="D1070" s="31">
        <f t="shared" si="240"/>
        <v>3336388</v>
      </c>
      <c r="E1070" s="31">
        <v>0</v>
      </c>
      <c r="F1070" s="31">
        <v>0</v>
      </c>
      <c r="G1070" s="31">
        <v>0</v>
      </c>
      <c r="H1070" s="31">
        <v>0</v>
      </c>
      <c r="I1070" s="31">
        <v>0</v>
      </c>
      <c r="J1070" s="31">
        <v>0</v>
      </c>
      <c r="K1070" s="33">
        <v>0</v>
      </c>
      <c r="L1070" s="31">
        <v>0</v>
      </c>
      <c r="M1070" s="31">
        <v>660</v>
      </c>
      <c r="N1070" s="31">
        <v>3287081.77</v>
      </c>
      <c r="O1070" s="31">
        <v>0</v>
      </c>
      <c r="P1070" s="31">
        <v>0</v>
      </c>
      <c r="Q1070" s="31">
        <v>0</v>
      </c>
      <c r="R1070" s="31">
        <v>0</v>
      </c>
      <c r="S1070" s="31">
        <v>0</v>
      </c>
      <c r="T1070" s="31">
        <v>0</v>
      </c>
      <c r="U1070" s="31">
        <v>0</v>
      </c>
      <c r="V1070" s="31">
        <v>0</v>
      </c>
      <c r="W1070" s="31">
        <v>0</v>
      </c>
      <c r="X1070" s="31">
        <v>0</v>
      </c>
      <c r="Y1070" s="31">
        <v>0</v>
      </c>
      <c r="Z1070" s="31">
        <v>0</v>
      </c>
      <c r="AA1070" s="31">
        <v>0</v>
      </c>
      <c r="AB1070" s="31">
        <v>0</v>
      </c>
      <c r="AC1070" s="31">
        <f>ROUND(N1070*1.5%,2)</f>
        <v>49306.23</v>
      </c>
      <c r="AD1070" s="31">
        <v>0</v>
      </c>
      <c r="AE1070" s="31">
        <v>0</v>
      </c>
      <c r="AF1070" s="34" t="s">
        <v>274</v>
      </c>
      <c r="AG1070" s="34">
        <v>2022</v>
      </c>
      <c r="AH1070" s="35">
        <v>2022</v>
      </c>
      <c r="AT1070" s="20" t="e">
        <f t="shared" si="236"/>
        <v>#N/A</v>
      </c>
      <c r="BZ1070" s="71"/>
    </row>
    <row r="1071" spans="1:78" ht="61.5" x14ac:dyDescent="0.85">
      <c r="A1071" s="20">
        <v>1</v>
      </c>
      <c r="B1071" s="66">
        <f>SUBTOTAL(103,$A$963:A1071)</f>
        <v>106</v>
      </c>
      <c r="C1071" s="24" t="s">
        <v>815</v>
      </c>
      <c r="D1071" s="31">
        <f t="shared" si="240"/>
        <v>2697058</v>
      </c>
      <c r="E1071" s="31">
        <v>0</v>
      </c>
      <c r="F1071" s="31">
        <v>0</v>
      </c>
      <c r="G1071" s="31">
        <v>0</v>
      </c>
      <c r="H1071" s="31">
        <v>0</v>
      </c>
      <c r="I1071" s="31">
        <v>0</v>
      </c>
      <c r="J1071" s="31">
        <v>0</v>
      </c>
      <c r="K1071" s="33">
        <v>0</v>
      </c>
      <c r="L1071" s="31">
        <v>0</v>
      </c>
      <c r="M1071" s="31">
        <v>511</v>
      </c>
      <c r="N1071" s="31">
        <f>M1071*5200</f>
        <v>2657200</v>
      </c>
      <c r="O1071" s="31">
        <v>0</v>
      </c>
      <c r="P1071" s="31">
        <v>0</v>
      </c>
      <c r="Q1071" s="31">
        <v>0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0</v>
      </c>
      <c r="X1071" s="31">
        <v>0</v>
      </c>
      <c r="Y1071" s="31">
        <v>0</v>
      </c>
      <c r="Z1071" s="31">
        <v>0</v>
      </c>
      <c r="AA1071" s="31">
        <v>0</v>
      </c>
      <c r="AB1071" s="31">
        <v>0</v>
      </c>
      <c r="AC1071" s="31">
        <f>ROUND(N1071*1.5%,2)</f>
        <v>39858</v>
      </c>
      <c r="AD1071" s="31">
        <v>0</v>
      </c>
      <c r="AE1071" s="31">
        <v>0</v>
      </c>
      <c r="AF1071" s="34" t="s">
        <v>274</v>
      </c>
      <c r="AG1071" s="34">
        <v>2022</v>
      </c>
      <c r="AH1071" s="35">
        <v>2022</v>
      </c>
      <c r="AT1071" s="20" t="e">
        <f t="shared" si="236"/>
        <v>#N/A</v>
      </c>
      <c r="BZ1071" s="71"/>
    </row>
    <row r="1072" spans="1:78" ht="61.5" x14ac:dyDescent="0.85">
      <c r="A1072" s="20">
        <v>1</v>
      </c>
      <c r="B1072" s="66">
        <f>SUBTOTAL(103,$A$963:A1072)</f>
        <v>107</v>
      </c>
      <c r="C1072" s="24" t="s">
        <v>816</v>
      </c>
      <c r="D1072" s="31">
        <f t="shared" si="240"/>
        <v>8460275.6699999981</v>
      </c>
      <c r="E1072" s="31">
        <v>0</v>
      </c>
      <c r="F1072" s="31">
        <v>0</v>
      </c>
      <c r="G1072" s="31">
        <v>0</v>
      </c>
      <c r="H1072" s="31">
        <v>0</v>
      </c>
      <c r="I1072" s="31">
        <v>0</v>
      </c>
      <c r="J1072" s="31">
        <v>0</v>
      </c>
      <c r="K1072" s="33">
        <v>0</v>
      </c>
      <c r="L1072" s="31">
        <v>0</v>
      </c>
      <c r="M1072" s="31">
        <v>2047.5</v>
      </c>
      <c r="N1072" s="31">
        <f>10533631.03-3411405.54+1213021.48</f>
        <v>8335246.9699999988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31">
        <v>0</v>
      </c>
      <c r="U1072" s="31">
        <v>0</v>
      </c>
      <c r="V1072" s="31">
        <v>0</v>
      </c>
      <c r="W1072" s="31">
        <v>0</v>
      </c>
      <c r="X1072" s="31">
        <v>0</v>
      </c>
      <c r="Y1072" s="31">
        <v>0</v>
      </c>
      <c r="Z1072" s="31">
        <v>0</v>
      </c>
      <c r="AA1072" s="31">
        <v>0</v>
      </c>
      <c r="AB1072" s="31">
        <v>0</v>
      </c>
      <c r="AC1072" s="31">
        <f>ROUND(N1072*1.5%,2)</f>
        <v>125028.7</v>
      </c>
      <c r="AD1072" s="31">
        <v>0</v>
      </c>
      <c r="AE1072" s="31">
        <v>0</v>
      </c>
      <c r="AF1072" s="34" t="s">
        <v>274</v>
      </c>
      <c r="AG1072" s="34">
        <v>2022</v>
      </c>
      <c r="AH1072" s="35">
        <v>2022</v>
      </c>
      <c r="AT1072" s="20" t="e">
        <f t="shared" si="236"/>
        <v>#N/A</v>
      </c>
      <c r="BZ1072" s="71"/>
    </row>
    <row r="1073" spans="1:78" ht="61.5" x14ac:dyDescent="0.85">
      <c r="A1073" s="20">
        <v>1</v>
      </c>
      <c r="B1073" s="66">
        <f>SUBTOTAL(103,$A$963:A1073)</f>
        <v>108</v>
      </c>
      <c r="C1073" s="24" t="s">
        <v>838</v>
      </c>
      <c r="D1073" s="31">
        <f t="shared" si="240"/>
        <v>1911891.6</v>
      </c>
      <c r="E1073" s="31">
        <v>0</v>
      </c>
      <c r="F1073" s="31">
        <v>0</v>
      </c>
      <c r="G1073" s="31">
        <v>0</v>
      </c>
      <c r="H1073" s="31">
        <v>0</v>
      </c>
      <c r="I1073" s="31">
        <v>0</v>
      </c>
      <c r="J1073" s="31">
        <v>0</v>
      </c>
      <c r="K1073" s="33">
        <v>0</v>
      </c>
      <c r="L1073" s="31">
        <v>0</v>
      </c>
      <c r="M1073" s="31">
        <v>0</v>
      </c>
      <c r="N1073" s="31">
        <v>0</v>
      </c>
      <c r="O1073" s="31">
        <v>0</v>
      </c>
      <c r="P1073" s="31">
        <v>0</v>
      </c>
      <c r="Q1073" s="31">
        <v>360</v>
      </c>
      <c r="R1073" s="31">
        <v>1883637.04</v>
      </c>
      <c r="S1073" s="31">
        <v>0</v>
      </c>
      <c r="T1073" s="31">
        <v>0</v>
      </c>
      <c r="U1073" s="31">
        <v>0</v>
      </c>
      <c r="V1073" s="31">
        <v>0</v>
      </c>
      <c r="W1073" s="31">
        <v>0</v>
      </c>
      <c r="X1073" s="31">
        <v>0</v>
      </c>
      <c r="Y1073" s="31">
        <v>0</v>
      </c>
      <c r="Z1073" s="31">
        <v>0</v>
      </c>
      <c r="AA1073" s="31">
        <v>0</v>
      </c>
      <c r="AB1073" s="31">
        <v>0</v>
      </c>
      <c r="AC1073" s="31">
        <f>ROUND(R1073*1.5%,2)</f>
        <v>28254.560000000001</v>
      </c>
      <c r="AD1073" s="31">
        <v>0</v>
      </c>
      <c r="AE1073" s="31">
        <v>0</v>
      </c>
      <c r="AF1073" s="34" t="s">
        <v>274</v>
      </c>
      <c r="AG1073" s="34">
        <v>2022</v>
      </c>
      <c r="AH1073" s="35">
        <v>2022</v>
      </c>
      <c r="AT1073" s="20">
        <f t="shared" si="236"/>
        <v>1</v>
      </c>
      <c r="BZ1073" s="71"/>
    </row>
    <row r="1074" spans="1:78" ht="61.5" x14ac:dyDescent="0.85">
      <c r="A1074" s="20">
        <v>1</v>
      </c>
      <c r="B1074" s="66">
        <f>SUBTOTAL(103,$A$963:A1074)</f>
        <v>109</v>
      </c>
      <c r="C1074" s="24" t="s">
        <v>1649</v>
      </c>
      <c r="D1074" s="31">
        <f t="shared" si="240"/>
        <v>1984284</v>
      </c>
      <c r="E1074" s="31">
        <v>0</v>
      </c>
      <c r="F1074" s="31">
        <v>0</v>
      </c>
      <c r="G1074" s="31">
        <v>0</v>
      </c>
      <c r="H1074" s="31">
        <v>0</v>
      </c>
      <c r="I1074" s="31">
        <v>0</v>
      </c>
      <c r="J1074" s="31">
        <v>0</v>
      </c>
      <c r="K1074" s="33">
        <v>0</v>
      </c>
      <c r="L1074" s="31">
        <v>0</v>
      </c>
      <c r="M1074" s="31">
        <v>380</v>
      </c>
      <c r="N1074" s="31">
        <v>1954959.61</v>
      </c>
      <c r="O1074" s="31">
        <v>0</v>
      </c>
      <c r="P1074" s="31">
        <v>0</v>
      </c>
      <c r="Q1074" s="31">
        <v>0</v>
      </c>
      <c r="R1074" s="31">
        <v>0</v>
      </c>
      <c r="S1074" s="31">
        <v>0</v>
      </c>
      <c r="T1074" s="31">
        <v>0</v>
      </c>
      <c r="U1074" s="31">
        <v>0</v>
      </c>
      <c r="V1074" s="31">
        <v>0</v>
      </c>
      <c r="W1074" s="31">
        <v>0</v>
      </c>
      <c r="X1074" s="31">
        <v>0</v>
      </c>
      <c r="Y1074" s="31">
        <v>0</v>
      </c>
      <c r="Z1074" s="31">
        <v>0</v>
      </c>
      <c r="AA1074" s="31">
        <v>0</v>
      </c>
      <c r="AB1074" s="31">
        <v>0</v>
      </c>
      <c r="AC1074" s="31">
        <f>ROUND(N1074*1.5%,2)</f>
        <v>29324.39</v>
      </c>
      <c r="AD1074" s="31">
        <v>0</v>
      </c>
      <c r="AE1074" s="31">
        <v>0</v>
      </c>
      <c r="AF1074" s="34" t="s">
        <v>274</v>
      </c>
      <c r="AG1074" s="34">
        <v>2022</v>
      </c>
      <c r="AH1074" s="35">
        <v>2022</v>
      </c>
      <c r="BZ1074" s="71"/>
    </row>
    <row r="1075" spans="1:78" ht="61.5" x14ac:dyDescent="0.85">
      <c r="B1075" s="24" t="s">
        <v>783</v>
      </c>
      <c r="C1075" s="129"/>
      <c r="D1075" s="31">
        <f>SUM(D1076:D1077)</f>
        <v>21856214.649999999</v>
      </c>
      <c r="E1075" s="31">
        <f t="shared" ref="E1075:AE1075" si="241">SUM(E1076:E1077)</f>
        <v>564251.4</v>
      </c>
      <c r="F1075" s="31">
        <f t="shared" si="241"/>
        <v>1368969.5</v>
      </c>
      <c r="G1075" s="31">
        <f t="shared" si="241"/>
        <v>1773880.4000000001</v>
      </c>
      <c r="H1075" s="31">
        <f t="shared" si="241"/>
        <v>1005360.8</v>
      </c>
      <c r="I1075" s="31">
        <f t="shared" si="241"/>
        <v>2430648.5</v>
      </c>
      <c r="J1075" s="31">
        <f t="shared" si="241"/>
        <v>0</v>
      </c>
      <c r="K1075" s="33">
        <f t="shared" si="241"/>
        <v>0</v>
      </c>
      <c r="L1075" s="31">
        <f t="shared" si="241"/>
        <v>0</v>
      </c>
      <c r="M1075" s="31">
        <f t="shared" si="241"/>
        <v>0</v>
      </c>
      <c r="N1075" s="31">
        <f t="shared" si="241"/>
        <v>0</v>
      </c>
      <c r="O1075" s="31">
        <f t="shared" si="241"/>
        <v>0</v>
      </c>
      <c r="P1075" s="31">
        <f t="shared" si="241"/>
        <v>0</v>
      </c>
      <c r="Q1075" s="31">
        <f t="shared" si="241"/>
        <v>7025.9</v>
      </c>
      <c r="R1075" s="31">
        <f t="shared" si="241"/>
        <v>13897494.970000001</v>
      </c>
      <c r="S1075" s="31">
        <f t="shared" si="241"/>
        <v>0</v>
      </c>
      <c r="T1075" s="31">
        <f t="shared" si="241"/>
        <v>0</v>
      </c>
      <c r="U1075" s="31">
        <f t="shared" si="241"/>
        <v>0</v>
      </c>
      <c r="V1075" s="31">
        <f t="shared" si="241"/>
        <v>0</v>
      </c>
      <c r="W1075" s="31">
        <f t="shared" si="241"/>
        <v>0</v>
      </c>
      <c r="X1075" s="31">
        <f t="shared" si="241"/>
        <v>0</v>
      </c>
      <c r="Y1075" s="31">
        <f t="shared" si="241"/>
        <v>0</v>
      </c>
      <c r="Z1075" s="31">
        <f t="shared" si="241"/>
        <v>0</v>
      </c>
      <c r="AA1075" s="31">
        <f t="shared" si="241"/>
        <v>0</v>
      </c>
      <c r="AB1075" s="31">
        <f t="shared" si="241"/>
        <v>0</v>
      </c>
      <c r="AC1075" s="31">
        <f t="shared" si="241"/>
        <v>315609.08</v>
      </c>
      <c r="AD1075" s="31">
        <f t="shared" si="241"/>
        <v>500000</v>
      </c>
      <c r="AE1075" s="31">
        <f t="shared" si="241"/>
        <v>0</v>
      </c>
      <c r="AF1075" s="72" t="s">
        <v>776</v>
      </c>
      <c r="AG1075" s="72" t="s">
        <v>776</v>
      </c>
      <c r="AH1075" s="88" t="s">
        <v>776</v>
      </c>
      <c r="AT1075" s="20" t="e">
        <f t="shared" ref="AT1075:AT1088" si="242">VLOOKUP(C1075,AW:AX,2,FALSE)</f>
        <v>#N/A</v>
      </c>
      <c r="BZ1075" s="71">
        <v>21856214.649999999</v>
      </c>
    </row>
    <row r="1076" spans="1:78" ht="61.5" x14ac:dyDescent="0.85">
      <c r="A1076" s="20">
        <v>1</v>
      </c>
      <c r="B1076" s="66">
        <f>SUBTOTAL(103,$A$963:A1076)</f>
        <v>110</v>
      </c>
      <c r="C1076" s="24" t="s">
        <v>394</v>
      </c>
      <c r="D1076" s="31">
        <f>E1076+F1076+G1076+H1076+I1076+J1076+L1076+N1076+P1076+R1076+T1076+U1076+V1076+W1076+X1076+Y1076+Z1076+AA1076+AB1076+AC1076+AD1076+AE1076</f>
        <v>7550257.2599999998</v>
      </c>
      <c r="E1076" s="31">
        <v>564251.4</v>
      </c>
      <c r="F1076" s="31">
        <v>1368969.5</v>
      </c>
      <c r="G1076" s="31">
        <v>1773880.4000000001</v>
      </c>
      <c r="H1076" s="31">
        <v>1005360.8</v>
      </c>
      <c r="I1076" s="31">
        <v>2430648.5</v>
      </c>
      <c r="J1076" s="31">
        <v>0</v>
      </c>
      <c r="K1076" s="33">
        <v>0</v>
      </c>
      <c r="L1076" s="31">
        <v>0</v>
      </c>
      <c r="M1076" s="31">
        <v>0</v>
      </c>
      <c r="N1076" s="31">
        <v>0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1">
        <v>0</v>
      </c>
      <c r="Y1076" s="31">
        <v>0</v>
      </c>
      <c r="Z1076" s="31">
        <v>0</v>
      </c>
      <c r="AA1076" s="31">
        <v>0</v>
      </c>
      <c r="AB1076" s="31">
        <v>0</v>
      </c>
      <c r="AC1076" s="31">
        <f>ROUND((E1076+F1076+G1076+H1076+I1076+J1076)*1.5%,2)</f>
        <v>107146.66</v>
      </c>
      <c r="AD1076" s="31">
        <v>300000</v>
      </c>
      <c r="AE1076" s="31">
        <v>0</v>
      </c>
      <c r="AF1076" s="34">
        <v>2022</v>
      </c>
      <c r="AG1076" s="34">
        <v>2022</v>
      </c>
      <c r="AH1076" s="35">
        <v>2022</v>
      </c>
      <c r="AT1076" s="20" t="e">
        <f t="shared" si="242"/>
        <v>#N/A</v>
      </c>
      <c r="BZ1076" s="71"/>
    </row>
    <row r="1077" spans="1:78" ht="61.5" x14ac:dyDescent="0.85">
      <c r="A1077" s="20">
        <v>1</v>
      </c>
      <c r="B1077" s="66">
        <f>SUBTOTAL(103,$A$963:A1077)</f>
        <v>111</v>
      </c>
      <c r="C1077" s="24" t="s">
        <v>395</v>
      </c>
      <c r="D1077" s="31">
        <f>E1077+F1077+G1077+H1077+I1077+J1077+L1077+N1077+P1077+R1077+T1077+U1077+V1077+W1077+X1077+Y1077+Z1077+AA1077+AB1077+AC1077+AD1077+AE1077</f>
        <v>14305957.390000001</v>
      </c>
      <c r="E1077" s="31">
        <v>0</v>
      </c>
      <c r="F1077" s="31">
        <v>0</v>
      </c>
      <c r="G1077" s="31">
        <v>0</v>
      </c>
      <c r="H1077" s="31">
        <v>0</v>
      </c>
      <c r="I1077" s="31">
        <v>0</v>
      </c>
      <c r="J1077" s="31">
        <v>0</v>
      </c>
      <c r="K1077" s="33">
        <v>0</v>
      </c>
      <c r="L1077" s="31">
        <v>0</v>
      </c>
      <c r="M1077" s="31">
        <v>0</v>
      </c>
      <c r="N1077" s="31">
        <v>0</v>
      </c>
      <c r="O1077" s="31">
        <v>0</v>
      </c>
      <c r="P1077" s="31">
        <v>0</v>
      </c>
      <c r="Q1077" s="31">
        <v>7025.9</v>
      </c>
      <c r="R1077" s="31">
        <v>13897494.970000001</v>
      </c>
      <c r="S1077" s="31">
        <v>0</v>
      </c>
      <c r="T1077" s="31">
        <v>0</v>
      </c>
      <c r="U1077" s="31">
        <v>0</v>
      </c>
      <c r="V1077" s="31">
        <v>0</v>
      </c>
      <c r="W1077" s="31">
        <v>0</v>
      </c>
      <c r="X1077" s="31">
        <v>0</v>
      </c>
      <c r="Y1077" s="31">
        <v>0</v>
      </c>
      <c r="Z1077" s="31">
        <v>0</v>
      </c>
      <c r="AA1077" s="31">
        <v>0</v>
      </c>
      <c r="AB1077" s="31">
        <v>0</v>
      </c>
      <c r="AC1077" s="31">
        <f>ROUND(R1077*1.5%,2)</f>
        <v>208462.42</v>
      </c>
      <c r="AD1077" s="31">
        <v>200000</v>
      </c>
      <c r="AE1077" s="31">
        <v>0</v>
      </c>
      <c r="AF1077" s="34">
        <v>2022</v>
      </c>
      <c r="AG1077" s="34">
        <v>2022</v>
      </c>
      <c r="AH1077" s="35">
        <v>2022</v>
      </c>
      <c r="AT1077" s="20" t="e">
        <f t="shared" si="242"/>
        <v>#N/A</v>
      </c>
      <c r="BZ1077" s="71"/>
    </row>
    <row r="1078" spans="1:78" ht="61.5" x14ac:dyDescent="0.85">
      <c r="B1078" s="24" t="s">
        <v>840</v>
      </c>
      <c r="C1078" s="129"/>
      <c r="D1078" s="31">
        <f>SUM(D1079:D1086)</f>
        <v>51599396.32</v>
      </c>
      <c r="E1078" s="31">
        <f t="shared" ref="E1078:AE1078" si="243">SUM(E1079:E1086)</f>
        <v>0</v>
      </c>
      <c r="F1078" s="31">
        <f t="shared" si="243"/>
        <v>0</v>
      </c>
      <c r="G1078" s="31">
        <f t="shared" si="243"/>
        <v>0</v>
      </c>
      <c r="H1078" s="31">
        <f t="shared" si="243"/>
        <v>0</v>
      </c>
      <c r="I1078" s="31">
        <f t="shared" si="243"/>
        <v>0</v>
      </c>
      <c r="J1078" s="31">
        <f t="shared" si="243"/>
        <v>0</v>
      </c>
      <c r="K1078" s="33">
        <f t="shared" si="243"/>
        <v>0</v>
      </c>
      <c r="L1078" s="31">
        <f t="shared" si="243"/>
        <v>0</v>
      </c>
      <c r="M1078" s="31">
        <f t="shared" si="243"/>
        <v>8662.4</v>
      </c>
      <c r="N1078" s="31">
        <f t="shared" si="243"/>
        <v>42994075.339999996</v>
      </c>
      <c r="O1078" s="31">
        <f t="shared" si="243"/>
        <v>0</v>
      </c>
      <c r="P1078" s="31">
        <f t="shared" si="243"/>
        <v>0</v>
      </c>
      <c r="Q1078" s="31">
        <f t="shared" si="243"/>
        <v>0</v>
      </c>
      <c r="R1078" s="31">
        <f t="shared" si="243"/>
        <v>0</v>
      </c>
      <c r="S1078" s="31">
        <f t="shared" si="243"/>
        <v>209</v>
      </c>
      <c r="T1078" s="31">
        <f t="shared" si="243"/>
        <v>6571832.3700000001</v>
      </c>
      <c r="U1078" s="31">
        <f t="shared" si="243"/>
        <v>0</v>
      </c>
      <c r="V1078" s="31">
        <f t="shared" si="243"/>
        <v>0</v>
      </c>
      <c r="W1078" s="31">
        <f t="shared" si="243"/>
        <v>0</v>
      </c>
      <c r="X1078" s="31">
        <f t="shared" si="243"/>
        <v>0</v>
      </c>
      <c r="Y1078" s="31">
        <f t="shared" si="243"/>
        <v>0</v>
      </c>
      <c r="Z1078" s="31">
        <f t="shared" si="243"/>
        <v>0</v>
      </c>
      <c r="AA1078" s="31">
        <f t="shared" si="243"/>
        <v>0</v>
      </c>
      <c r="AB1078" s="31">
        <f t="shared" si="243"/>
        <v>0</v>
      </c>
      <c r="AC1078" s="31">
        <f t="shared" si="243"/>
        <v>743488.60999999987</v>
      </c>
      <c r="AD1078" s="31">
        <f t="shared" si="243"/>
        <v>1290000</v>
      </c>
      <c r="AE1078" s="31">
        <f t="shared" si="243"/>
        <v>0</v>
      </c>
      <c r="AF1078" s="72" t="s">
        <v>776</v>
      </c>
      <c r="AG1078" s="72" t="s">
        <v>776</v>
      </c>
      <c r="AH1078" s="88" t="s">
        <v>776</v>
      </c>
      <c r="AT1078" s="20" t="e">
        <f t="shared" si="242"/>
        <v>#N/A</v>
      </c>
      <c r="BZ1078" s="71">
        <v>51679396.32</v>
      </c>
    </row>
    <row r="1079" spans="1:78" ht="61.5" x14ac:dyDescent="0.85">
      <c r="A1079" s="20">
        <v>1</v>
      </c>
      <c r="B1079" s="66">
        <f>SUBTOTAL(103,$A$963:A1079)</f>
        <v>112</v>
      </c>
      <c r="C1079" s="24" t="s">
        <v>628</v>
      </c>
      <c r="D1079" s="31">
        <f t="shared" ref="D1079:D1086" si="244">E1079+F1079+G1079+H1079+I1079+J1079+L1079+N1079+P1079+R1079+T1079+U1079+V1079+W1079+X1079+Y1079+Z1079+AA1079+AB1079+AC1079+AD1079+AE1079</f>
        <v>5121801</v>
      </c>
      <c r="E1079" s="38">
        <v>0</v>
      </c>
      <c r="F1079" s="38">
        <v>0</v>
      </c>
      <c r="G1079" s="38">
        <v>0</v>
      </c>
      <c r="H1079" s="38">
        <v>0</v>
      </c>
      <c r="I1079" s="38">
        <v>0</v>
      </c>
      <c r="J1079" s="38">
        <v>0</v>
      </c>
      <c r="K1079" s="85">
        <v>0</v>
      </c>
      <c r="L1079" s="38">
        <v>0</v>
      </c>
      <c r="M1079" s="31">
        <v>981</v>
      </c>
      <c r="N1079" s="31">
        <v>4898326.1100000003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1">
        <v>0</v>
      </c>
      <c r="X1079" s="31">
        <v>0</v>
      </c>
      <c r="Y1079" s="31">
        <v>0</v>
      </c>
      <c r="Z1079" s="31">
        <v>0</v>
      </c>
      <c r="AA1079" s="31">
        <v>0</v>
      </c>
      <c r="AB1079" s="31">
        <v>0</v>
      </c>
      <c r="AC1079" s="31">
        <f>ROUND(N1079*1.5%,2)</f>
        <v>73474.89</v>
      </c>
      <c r="AD1079" s="31">
        <v>150000</v>
      </c>
      <c r="AE1079" s="31">
        <v>0</v>
      </c>
      <c r="AF1079" s="34">
        <v>2022</v>
      </c>
      <c r="AG1079" s="34">
        <v>2022</v>
      </c>
      <c r="AH1079" s="35">
        <v>2022</v>
      </c>
      <c r="AT1079" s="20" t="e">
        <f t="shared" si="242"/>
        <v>#N/A</v>
      </c>
      <c r="BZ1079" s="71"/>
    </row>
    <row r="1080" spans="1:78" ht="61.5" x14ac:dyDescent="0.85">
      <c r="A1080" s="20">
        <v>1</v>
      </c>
      <c r="B1080" s="66">
        <f>SUBTOTAL(103,$A$963:A1080)</f>
        <v>113</v>
      </c>
      <c r="C1080" s="24" t="s">
        <v>629</v>
      </c>
      <c r="D1080" s="31">
        <f t="shared" si="244"/>
        <v>8124000</v>
      </c>
      <c r="E1080" s="38">
        <v>0</v>
      </c>
      <c r="F1080" s="38">
        <v>0</v>
      </c>
      <c r="G1080" s="38">
        <v>0</v>
      </c>
      <c r="H1080" s="38">
        <v>0</v>
      </c>
      <c r="I1080" s="38">
        <v>0</v>
      </c>
      <c r="J1080" s="38">
        <v>0</v>
      </c>
      <c r="K1080" s="85">
        <v>0</v>
      </c>
      <c r="L1080" s="38">
        <v>0</v>
      </c>
      <c r="M1080" s="31">
        <v>1692.5</v>
      </c>
      <c r="N1080" s="31">
        <v>7826600.9900000002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31">
        <v>0</v>
      </c>
      <c r="W1080" s="31">
        <v>0</v>
      </c>
      <c r="X1080" s="31">
        <v>0</v>
      </c>
      <c r="Y1080" s="31">
        <v>0</v>
      </c>
      <c r="Z1080" s="31">
        <v>0</v>
      </c>
      <c r="AA1080" s="31">
        <v>0</v>
      </c>
      <c r="AB1080" s="31">
        <v>0</v>
      </c>
      <c r="AC1080" s="31">
        <f>ROUND(N1080*1.5%,2)</f>
        <v>117399.01</v>
      </c>
      <c r="AD1080" s="31">
        <v>180000</v>
      </c>
      <c r="AE1080" s="31">
        <v>0</v>
      </c>
      <c r="AF1080" s="34">
        <v>2022</v>
      </c>
      <c r="AG1080" s="34">
        <v>2022</v>
      </c>
      <c r="AH1080" s="35">
        <v>2022</v>
      </c>
      <c r="AT1080" s="20" t="e">
        <f t="shared" si="242"/>
        <v>#N/A</v>
      </c>
      <c r="BZ1080" s="71"/>
    </row>
    <row r="1081" spans="1:78" ht="61.5" x14ac:dyDescent="0.85">
      <c r="A1081" s="20">
        <v>1</v>
      </c>
      <c r="B1081" s="66">
        <f>SUBTOTAL(103,$A$963:A1081)</f>
        <v>114</v>
      </c>
      <c r="C1081" s="24" t="s">
        <v>1731</v>
      </c>
      <c r="D1081" s="31">
        <f t="shared" si="244"/>
        <v>4662041.0599999996</v>
      </c>
      <c r="E1081" s="38">
        <v>0</v>
      </c>
      <c r="F1081" s="38">
        <v>0</v>
      </c>
      <c r="G1081" s="38">
        <v>0</v>
      </c>
      <c r="H1081" s="38">
        <v>0</v>
      </c>
      <c r="I1081" s="38">
        <v>0</v>
      </c>
      <c r="J1081" s="38">
        <v>0</v>
      </c>
      <c r="K1081" s="85">
        <v>0</v>
      </c>
      <c r="L1081" s="38">
        <v>0</v>
      </c>
      <c r="M1081" s="31">
        <v>650</v>
      </c>
      <c r="N1081" s="31">
        <f>4474917.3-29556.65</f>
        <v>4445360.6499999994</v>
      </c>
      <c r="O1081" s="31">
        <v>0</v>
      </c>
      <c r="P1081" s="31">
        <v>0</v>
      </c>
      <c r="Q1081" s="31">
        <v>0</v>
      </c>
      <c r="R1081" s="31">
        <v>0</v>
      </c>
      <c r="S1081" s="31">
        <v>0</v>
      </c>
      <c r="T1081" s="31">
        <v>0</v>
      </c>
      <c r="U1081" s="31">
        <v>0</v>
      </c>
      <c r="V1081" s="31">
        <v>0</v>
      </c>
      <c r="W1081" s="31">
        <v>0</v>
      </c>
      <c r="X1081" s="31">
        <v>0</v>
      </c>
      <c r="Y1081" s="31">
        <v>0</v>
      </c>
      <c r="Z1081" s="31">
        <v>0</v>
      </c>
      <c r="AA1081" s="31">
        <v>0</v>
      </c>
      <c r="AB1081" s="31">
        <v>0</v>
      </c>
      <c r="AC1081" s="31">
        <f>ROUND(N1081*1.5%,2)</f>
        <v>66680.41</v>
      </c>
      <c r="AD1081" s="31">
        <v>150000</v>
      </c>
      <c r="AE1081" s="31">
        <v>0</v>
      </c>
      <c r="AF1081" s="34">
        <v>2022</v>
      </c>
      <c r="AG1081" s="34">
        <v>2022</v>
      </c>
      <c r="AH1081" s="35">
        <v>2022</v>
      </c>
      <c r="AT1081" s="20" t="e">
        <f t="shared" si="242"/>
        <v>#N/A</v>
      </c>
      <c r="BZ1081" s="71"/>
    </row>
    <row r="1082" spans="1:78" ht="61.5" x14ac:dyDescent="0.85">
      <c r="A1082" s="20">
        <v>1</v>
      </c>
      <c r="B1082" s="66">
        <f>SUBTOTAL(103,$A$963:A1082)</f>
        <v>115</v>
      </c>
      <c r="C1082" s="24" t="s">
        <v>633</v>
      </c>
      <c r="D1082" s="31">
        <f t="shared" si="244"/>
        <v>9052752</v>
      </c>
      <c r="E1082" s="38">
        <v>0</v>
      </c>
      <c r="F1082" s="38">
        <v>0</v>
      </c>
      <c r="G1082" s="38">
        <v>0</v>
      </c>
      <c r="H1082" s="38">
        <v>0</v>
      </c>
      <c r="I1082" s="38">
        <v>0</v>
      </c>
      <c r="J1082" s="38">
        <v>0</v>
      </c>
      <c r="K1082" s="85">
        <v>0</v>
      </c>
      <c r="L1082" s="38">
        <v>0</v>
      </c>
      <c r="M1082" s="31">
        <v>1812</v>
      </c>
      <c r="N1082" s="31">
        <v>8741627.5899999999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0</v>
      </c>
      <c r="U1082" s="31">
        <v>0</v>
      </c>
      <c r="V1082" s="31">
        <v>0</v>
      </c>
      <c r="W1082" s="31">
        <v>0</v>
      </c>
      <c r="X1082" s="31">
        <v>0</v>
      </c>
      <c r="Y1082" s="31">
        <v>0</v>
      </c>
      <c r="Z1082" s="31">
        <v>0</v>
      </c>
      <c r="AA1082" s="31">
        <v>0</v>
      </c>
      <c r="AB1082" s="31">
        <v>0</v>
      </c>
      <c r="AC1082" s="31">
        <f>ROUND(N1082*1.5%,2)</f>
        <v>131124.41</v>
      </c>
      <c r="AD1082" s="31">
        <v>180000</v>
      </c>
      <c r="AE1082" s="31">
        <v>0</v>
      </c>
      <c r="AF1082" s="34">
        <v>2022</v>
      </c>
      <c r="AG1082" s="34">
        <v>2022</v>
      </c>
      <c r="AH1082" s="35">
        <v>2022</v>
      </c>
      <c r="AT1082" s="20" t="e">
        <f t="shared" si="242"/>
        <v>#N/A</v>
      </c>
      <c r="BZ1082" s="71"/>
    </row>
    <row r="1083" spans="1:78" ht="61.5" x14ac:dyDescent="0.85">
      <c r="A1083" s="20">
        <v>1</v>
      </c>
      <c r="B1083" s="66">
        <f>SUBTOTAL(103,$A$963:A1083)</f>
        <v>116</v>
      </c>
      <c r="C1083" s="24" t="s">
        <v>647</v>
      </c>
      <c r="D1083" s="31">
        <f t="shared" si="244"/>
        <v>6820409.8600000003</v>
      </c>
      <c r="E1083" s="38">
        <v>0</v>
      </c>
      <c r="F1083" s="38">
        <v>0</v>
      </c>
      <c r="G1083" s="38">
        <v>0</v>
      </c>
      <c r="H1083" s="38">
        <v>0</v>
      </c>
      <c r="I1083" s="38">
        <v>0</v>
      </c>
      <c r="J1083" s="38">
        <v>0</v>
      </c>
      <c r="K1083" s="85">
        <v>0</v>
      </c>
      <c r="L1083" s="38">
        <v>0</v>
      </c>
      <c r="M1083" s="31">
        <v>0</v>
      </c>
      <c r="N1083" s="31">
        <v>0</v>
      </c>
      <c r="O1083" s="31">
        <v>0</v>
      </c>
      <c r="P1083" s="31">
        <v>0</v>
      </c>
      <c r="Q1083" s="31">
        <v>0</v>
      </c>
      <c r="R1083" s="31">
        <v>0</v>
      </c>
      <c r="S1083" s="31">
        <v>209</v>
      </c>
      <c r="T1083" s="31">
        <v>6571832.3700000001</v>
      </c>
      <c r="U1083" s="31">
        <v>0</v>
      </c>
      <c r="V1083" s="31">
        <v>0</v>
      </c>
      <c r="W1083" s="31">
        <v>0</v>
      </c>
      <c r="X1083" s="31">
        <v>0</v>
      </c>
      <c r="Y1083" s="31">
        <v>0</v>
      </c>
      <c r="Z1083" s="31">
        <v>0</v>
      </c>
      <c r="AA1083" s="31">
        <v>0</v>
      </c>
      <c r="AB1083" s="31">
        <v>0</v>
      </c>
      <c r="AC1083" s="31">
        <f>ROUND(T1083*1.5%,2)</f>
        <v>98577.49</v>
      </c>
      <c r="AD1083" s="31">
        <v>150000</v>
      </c>
      <c r="AE1083" s="31">
        <v>0</v>
      </c>
      <c r="AF1083" s="34">
        <v>2022</v>
      </c>
      <c r="AG1083" s="34">
        <v>2022</v>
      </c>
      <c r="AH1083" s="35">
        <v>2022</v>
      </c>
      <c r="AT1083" s="20" t="e">
        <f t="shared" si="242"/>
        <v>#N/A</v>
      </c>
      <c r="BZ1083" s="71"/>
    </row>
    <row r="1084" spans="1:78" ht="61.5" x14ac:dyDescent="0.85">
      <c r="A1084" s="20">
        <v>1</v>
      </c>
      <c r="B1084" s="66">
        <f>SUBTOTAL(103,$A$963:A1084)</f>
        <v>117</v>
      </c>
      <c r="C1084" s="24" t="s">
        <v>651</v>
      </c>
      <c r="D1084" s="31">
        <f t="shared" si="244"/>
        <v>9102212.3999999985</v>
      </c>
      <c r="E1084" s="38">
        <v>0</v>
      </c>
      <c r="F1084" s="38">
        <v>0</v>
      </c>
      <c r="G1084" s="38">
        <v>0</v>
      </c>
      <c r="H1084" s="38">
        <v>0</v>
      </c>
      <c r="I1084" s="38">
        <v>0</v>
      </c>
      <c r="J1084" s="38">
        <v>0</v>
      </c>
      <c r="K1084" s="85">
        <v>0</v>
      </c>
      <c r="L1084" s="38">
        <v>0</v>
      </c>
      <c r="M1084" s="31">
        <v>1821.9</v>
      </c>
      <c r="N1084" s="31">
        <v>8790357.0399999991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  <c r="V1084" s="31">
        <v>0</v>
      </c>
      <c r="W1084" s="31">
        <v>0</v>
      </c>
      <c r="X1084" s="31">
        <v>0</v>
      </c>
      <c r="Y1084" s="31">
        <v>0</v>
      </c>
      <c r="Z1084" s="31">
        <v>0</v>
      </c>
      <c r="AA1084" s="31">
        <v>0</v>
      </c>
      <c r="AB1084" s="31">
        <v>0</v>
      </c>
      <c r="AC1084" s="31">
        <f>ROUND(N1084*1.5%,2)</f>
        <v>131855.35999999999</v>
      </c>
      <c r="AD1084" s="31">
        <v>180000</v>
      </c>
      <c r="AE1084" s="31">
        <v>0</v>
      </c>
      <c r="AF1084" s="34">
        <v>2022</v>
      </c>
      <c r="AG1084" s="34">
        <v>2022</v>
      </c>
      <c r="AH1084" s="35">
        <v>2022</v>
      </c>
      <c r="AT1084" s="20" t="e">
        <f t="shared" si="242"/>
        <v>#N/A</v>
      </c>
      <c r="BZ1084" s="71"/>
    </row>
    <row r="1085" spans="1:78" ht="61.5" x14ac:dyDescent="0.85">
      <c r="A1085" s="20">
        <v>1</v>
      </c>
      <c r="B1085" s="66">
        <f>SUBTOTAL(103,$A$963:A1085)</f>
        <v>118</v>
      </c>
      <c r="C1085" s="24" t="s">
        <v>655</v>
      </c>
      <c r="D1085" s="31">
        <f t="shared" si="244"/>
        <v>4594480</v>
      </c>
      <c r="E1085" s="38">
        <v>0</v>
      </c>
      <c r="F1085" s="38">
        <v>0</v>
      </c>
      <c r="G1085" s="38">
        <v>0</v>
      </c>
      <c r="H1085" s="38">
        <v>0</v>
      </c>
      <c r="I1085" s="38">
        <v>0</v>
      </c>
      <c r="J1085" s="38">
        <v>0</v>
      </c>
      <c r="K1085" s="85">
        <v>0</v>
      </c>
      <c r="L1085" s="38">
        <v>0</v>
      </c>
      <c r="M1085" s="31">
        <v>880</v>
      </c>
      <c r="N1085" s="31">
        <v>4378798.03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0</v>
      </c>
      <c r="U1085" s="31">
        <v>0</v>
      </c>
      <c r="V1085" s="31">
        <v>0</v>
      </c>
      <c r="W1085" s="31">
        <v>0</v>
      </c>
      <c r="X1085" s="31">
        <v>0</v>
      </c>
      <c r="Y1085" s="31">
        <v>0</v>
      </c>
      <c r="Z1085" s="31">
        <v>0</v>
      </c>
      <c r="AA1085" s="31">
        <v>0</v>
      </c>
      <c r="AB1085" s="31">
        <v>0</v>
      </c>
      <c r="AC1085" s="31">
        <f>ROUND(N1085*1.5%,2)</f>
        <v>65681.97</v>
      </c>
      <c r="AD1085" s="31">
        <v>150000</v>
      </c>
      <c r="AE1085" s="31">
        <v>0</v>
      </c>
      <c r="AF1085" s="34">
        <v>2022</v>
      </c>
      <c r="AG1085" s="34">
        <v>2022</v>
      </c>
      <c r="AH1085" s="35">
        <v>2022</v>
      </c>
      <c r="AT1085" s="20" t="e">
        <f t="shared" si="242"/>
        <v>#N/A</v>
      </c>
      <c r="BZ1085" s="71"/>
    </row>
    <row r="1086" spans="1:78" ht="61.5" x14ac:dyDescent="0.85">
      <c r="A1086" s="20">
        <v>1</v>
      </c>
      <c r="B1086" s="66">
        <f>SUBTOTAL(103,$A$963:A1086)</f>
        <v>119</v>
      </c>
      <c r="C1086" s="24" t="s">
        <v>654</v>
      </c>
      <c r="D1086" s="31">
        <f t="shared" si="244"/>
        <v>4121700</v>
      </c>
      <c r="E1086" s="38">
        <v>0</v>
      </c>
      <c r="F1086" s="38">
        <v>0</v>
      </c>
      <c r="G1086" s="38">
        <v>0</v>
      </c>
      <c r="H1086" s="38">
        <v>0</v>
      </c>
      <c r="I1086" s="38">
        <v>0</v>
      </c>
      <c r="J1086" s="38">
        <v>0</v>
      </c>
      <c r="K1086" s="85">
        <v>0</v>
      </c>
      <c r="L1086" s="38">
        <v>0</v>
      </c>
      <c r="M1086" s="31">
        <v>825</v>
      </c>
      <c r="N1086" s="31">
        <v>3913004.93</v>
      </c>
      <c r="O1086" s="31">
        <v>0</v>
      </c>
      <c r="P1086" s="31">
        <v>0</v>
      </c>
      <c r="Q1086" s="31">
        <v>0</v>
      </c>
      <c r="R1086" s="31">
        <v>0</v>
      </c>
      <c r="S1086" s="31">
        <v>0</v>
      </c>
      <c r="T1086" s="31">
        <v>0</v>
      </c>
      <c r="U1086" s="31">
        <v>0</v>
      </c>
      <c r="V1086" s="31">
        <v>0</v>
      </c>
      <c r="W1086" s="31">
        <v>0</v>
      </c>
      <c r="X1086" s="31">
        <v>0</v>
      </c>
      <c r="Y1086" s="31">
        <v>0</v>
      </c>
      <c r="Z1086" s="31">
        <v>0</v>
      </c>
      <c r="AA1086" s="31">
        <v>0</v>
      </c>
      <c r="AB1086" s="31">
        <v>0</v>
      </c>
      <c r="AC1086" s="31">
        <f>ROUND(N1086*1.5%,2)</f>
        <v>58695.07</v>
      </c>
      <c r="AD1086" s="31">
        <v>150000</v>
      </c>
      <c r="AE1086" s="31">
        <v>0</v>
      </c>
      <c r="AF1086" s="34">
        <v>2022</v>
      </c>
      <c r="AG1086" s="34">
        <v>2022</v>
      </c>
      <c r="AH1086" s="35">
        <v>2022</v>
      </c>
      <c r="AT1086" s="20" t="e">
        <f t="shared" si="242"/>
        <v>#N/A</v>
      </c>
      <c r="BZ1086" s="71"/>
    </row>
    <row r="1087" spans="1:78" ht="61.5" x14ac:dyDescent="0.85">
      <c r="B1087" s="24" t="s">
        <v>841</v>
      </c>
      <c r="C1087" s="24"/>
      <c r="D1087" s="31">
        <f>SUM(D1088:D1090)</f>
        <v>9890638.1399999987</v>
      </c>
      <c r="E1087" s="31">
        <f t="shared" ref="E1087:AE1087" si="245">SUM(E1088:E1090)</f>
        <v>0</v>
      </c>
      <c r="F1087" s="31">
        <f t="shared" si="245"/>
        <v>0</v>
      </c>
      <c r="G1087" s="31">
        <f t="shared" si="245"/>
        <v>0</v>
      </c>
      <c r="H1087" s="31">
        <f t="shared" si="245"/>
        <v>0</v>
      </c>
      <c r="I1087" s="31">
        <f t="shared" si="245"/>
        <v>0</v>
      </c>
      <c r="J1087" s="31">
        <f t="shared" si="245"/>
        <v>0</v>
      </c>
      <c r="K1087" s="33">
        <f t="shared" si="245"/>
        <v>0</v>
      </c>
      <c r="L1087" s="31">
        <f t="shared" si="245"/>
        <v>0</v>
      </c>
      <c r="M1087" s="31">
        <f t="shared" si="245"/>
        <v>1978.7</v>
      </c>
      <c r="N1087" s="31">
        <f t="shared" si="245"/>
        <v>9350382.4000000004</v>
      </c>
      <c r="O1087" s="31">
        <f t="shared" si="245"/>
        <v>0</v>
      </c>
      <c r="P1087" s="31">
        <f t="shared" si="245"/>
        <v>0</v>
      </c>
      <c r="Q1087" s="31">
        <f t="shared" si="245"/>
        <v>0</v>
      </c>
      <c r="R1087" s="31">
        <f t="shared" si="245"/>
        <v>0</v>
      </c>
      <c r="S1087" s="31">
        <f t="shared" si="245"/>
        <v>0</v>
      </c>
      <c r="T1087" s="31">
        <f t="shared" si="245"/>
        <v>0</v>
      </c>
      <c r="U1087" s="31">
        <f t="shared" si="245"/>
        <v>0</v>
      </c>
      <c r="V1087" s="31">
        <f t="shared" si="245"/>
        <v>0</v>
      </c>
      <c r="W1087" s="31">
        <f t="shared" si="245"/>
        <v>0</v>
      </c>
      <c r="X1087" s="31">
        <f t="shared" si="245"/>
        <v>0</v>
      </c>
      <c r="Y1087" s="31">
        <f t="shared" si="245"/>
        <v>0</v>
      </c>
      <c r="Z1087" s="31">
        <f t="shared" si="245"/>
        <v>0</v>
      </c>
      <c r="AA1087" s="31">
        <f t="shared" si="245"/>
        <v>0</v>
      </c>
      <c r="AB1087" s="31">
        <f t="shared" si="245"/>
        <v>0</v>
      </c>
      <c r="AC1087" s="31">
        <f t="shared" si="245"/>
        <v>140255.74</v>
      </c>
      <c r="AD1087" s="31">
        <f t="shared" si="245"/>
        <v>400000</v>
      </c>
      <c r="AE1087" s="31">
        <f t="shared" si="245"/>
        <v>0</v>
      </c>
      <c r="AF1087" s="72" t="s">
        <v>776</v>
      </c>
      <c r="AG1087" s="72" t="s">
        <v>776</v>
      </c>
      <c r="AH1087" s="88" t="s">
        <v>776</v>
      </c>
      <c r="AT1087" s="20" t="e">
        <f t="shared" si="242"/>
        <v>#N/A</v>
      </c>
      <c r="BZ1087" s="71">
        <v>9890638.1399999987</v>
      </c>
    </row>
    <row r="1088" spans="1:78" ht="61.5" x14ac:dyDescent="0.85">
      <c r="A1088" s="20">
        <v>1</v>
      </c>
      <c r="B1088" s="66">
        <f>SUBTOTAL(103,$A$963:A1088)</f>
        <v>120</v>
      </c>
      <c r="C1088" s="24" t="s">
        <v>660</v>
      </c>
      <c r="D1088" s="31">
        <f>E1088+F1088+G1088+H1088+I1088+J1088+L1088+N1088+P1088+R1088+T1088+U1088+V1088+W1088+X1088+Y1088+Z1088+AA1088+AB1088+AC1088+AD1088+AE1088</f>
        <v>4229613.5999999996</v>
      </c>
      <c r="E1088" s="38">
        <v>0</v>
      </c>
      <c r="F1088" s="38">
        <v>0</v>
      </c>
      <c r="G1088" s="38">
        <v>0</v>
      </c>
      <c r="H1088" s="38">
        <v>0</v>
      </c>
      <c r="I1088" s="38">
        <v>0</v>
      </c>
      <c r="J1088" s="38">
        <v>0</v>
      </c>
      <c r="K1088" s="85">
        <v>0</v>
      </c>
      <c r="L1088" s="38">
        <v>0</v>
      </c>
      <c r="M1088" s="31">
        <v>846.6</v>
      </c>
      <c r="N1088" s="31">
        <v>4019323.74</v>
      </c>
      <c r="O1088" s="31">
        <v>0</v>
      </c>
      <c r="P1088" s="31">
        <v>0</v>
      </c>
      <c r="Q1088" s="31">
        <v>0</v>
      </c>
      <c r="R1088" s="31">
        <v>0</v>
      </c>
      <c r="S1088" s="31">
        <v>0</v>
      </c>
      <c r="T1088" s="31">
        <v>0</v>
      </c>
      <c r="U1088" s="31">
        <v>0</v>
      </c>
      <c r="V1088" s="31">
        <v>0</v>
      </c>
      <c r="W1088" s="31">
        <v>0</v>
      </c>
      <c r="X1088" s="31">
        <v>0</v>
      </c>
      <c r="Y1088" s="31">
        <v>0</v>
      </c>
      <c r="Z1088" s="31">
        <v>0</v>
      </c>
      <c r="AA1088" s="31">
        <v>0</v>
      </c>
      <c r="AB1088" s="31">
        <v>0</v>
      </c>
      <c r="AC1088" s="31">
        <f>ROUND(N1088*1.5%,2)</f>
        <v>60289.86</v>
      </c>
      <c r="AD1088" s="31">
        <v>150000</v>
      </c>
      <c r="AE1088" s="31">
        <v>0</v>
      </c>
      <c r="AF1088" s="34">
        <v>2022</v>
      </c>
      <c r="AG1088" s="34">
        <v>2022</v>
      </c>
      <c r="AH1088" s="35">
        <v>2022</v>
      </c>
      <c r="AT1088" s="20" t="e">
        <f t="shared" si="242"/>
        <v>#N/A</v>
      </c>
      <c r="BZ1088" s="71"/>
    </row>
    <row r="1089" spans="1:78" ht="61.5" x14ac:dyDescent="0.85">
      <c r="A1089" s="20">
        <v>1</v>
      </c>
      <c r="B1089" s="66">
        <f>SUBTOTAL(103,$A$963:A1089)</f>
        <v>121</v>
      </c>
      <c r="C1089" s="24" t="s">
        <v>1120</v>
      </c>
      <c r="D1089" s="31">
        <f>E1089+F1089+G1089+H1089+I1089+J1089+L1089+N1089+P1089+R1089+T1089+U1089+V1089+W1089+X1089+Y1089+Z1089+AA1089+AB1089+AC1089+AD1089+AE1089</f>
        <v>4226815.84</v>
      </c>
      <c r="E1089" s="38">
        <v>0</v>
      </c>
      <c r="F1089" s="38">
        <v>0</v>
      </c>
      <c r="G1089" s="38">
        <v>0</v>
      </c>
      <c r="H1089" s="38">
        <v>0</v>
      </c>
      <c r="I1089" s="38">
        <v>0</v>
      </c>
      <c r="J1089" s="38">
        <v>0</v>
      </c>
      <c r="K1089" s="85">
        <v>0</v>
      </c>
      <c r="L1089" s="38">
        <v>0</v>
      </c>
      <c r="M1089" s="31">
        <v>857.4</v>
      </c>
      <c r="N1089" s="31">
        <v>4036271.76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1">
        <v>0</v>
      </c>
      <c r="X1089" s="31">
        <v>0</v>
      </c>
      <c r="Y1089" s="31">
        <v>0</v>
      </c>
      <c r="Z1089" s="31">
        <v>0</v>
      </c>
      <c r="AA1089" s="31">
        <v>0</v>
      </c>
      <c r="AB1089" s="31">
        <v>0</v>
      </c>
      <c r="AC1089" s="31">
        <f>ROUND(N1089*1.5%,2)</f>
        <v>60544.08</v>
      </c>
      <c r="AD1089" s="31">
        <v>130000</v>
      </c>
      <c r="AE1089" s="31">
        <v>0</v>
      </c>
      <c r="AF1089" s="34">
        <v>2022</v>
      </c>
      <c r="AG1089" s="34">
        <v>2022</v>
      </c>
      <c r="AH1089" s="35">
        <v>2022</v>
      </c>
      <c r="BZ1089" s="71"/>
    </row>
    <row r="1090" spans="1:78" ht="61.5" x14ac:dyDescent="0.85">
      <c r="A1090" s="20">
        <v>1</v>
      </c>
      <c r="B1090" s="66">
        <f>SUBTOTAL(103,$A$963:A1090)</f>
        <v>122</v>
      </c>
      <c r="C1090" s="24" t="s">
        <v>658</v>
      </c>
      <c r="D1090" s="31">
        <f>E1090+F1090+G1090+H1090+I1090+J1090+L1090+N1090+P1090+R1090+T1090+U1090+V1090+W1090+X1090+Y1090+Z1090+AA1090+AB1090+AC1090+AD1090+AE1090</f>
        <v>1434208.7</v>
      </c>
      <c r="E1090" s="38">
        <v>0</v>
      </c>
      <c r="F1090" s="38">
        <v>0</v>
      </c>
      <c r="G1090" s="38">
        <v>0</v>
      </c>
      <c r="H1090" s="38">
        <v>0</v>
      </c>
      <c r="I1090" s="38">
        <v>0</v>
      </c>
      <c r="J1090" s="38">
        <v>0</v>
      </c>
      <c r="K1090" s="85">
        <v>0</v>
      </c>
      <c r="L1090" s="38">
        <v>0</v>
      </c>
      <c r="M1090" s="31">
        <v>274.7</v>
      </c>
      <c r="N1090" s="31">
        <v>1294786.8999999999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1">
        <v>0</v>
      </c>
      <c r="Y1090" s="31">
        <v>0</v>
      </c>
      <c r="Z1090" s="31">
        <v>0</v>
      </c>
      <c r="AA1090" s="31">
        <v>0</v>
      </c>
      <c r="AB1090" s="31">
        <v>0</v>
      </c>
      <c r="AC1090" s="31">
        <f>ROUND(N1090*1.5%,2)</f>
        <v>19421.8</v>
      </c>
      <c r="AD1090" s="31">
        <v>120000</v>
      </c>
      <c r="AE1090" s="31">
        <v>0</v>
      </c>
      <c r="AF1090" s="34">
        <v>2022</v>
      </c>
      <c r="AG1090" s="34">
        <v>2022</v>
      </c>
      <c r="AH1090" s="35">
        <v>2022</v>
      </c>
      <c r="AT1090" s="20" t="e">
        <f t="shared" ref="AT1090:AT1121" si="246">VLOOKUP(C1090,AW:AX,2,FALSE)</f>
        <v>#N/A</v>
      </c>
      <c r="BZ1090" s="71"/>
    </row>
    <row r="1091" spans="1:78" ht="61.5" x14ac:dyDescent="0.85">
      <c r="B1091" s="24" t="s">
        <v>842</v>
      </c>
      <c r="C1091" s="24"/>
      <c r="D1091" s="31">
        <f>D1092+D1093</f>
        <v>11422752.699999999</v>
      </c>
      <c r="E1091" s="31">
        <f t="shared" ref="E1091:AE1091" si="247">E1092+E1093</f>
        <v>0</v>
      </c>
      <c r="F1091" s="31">
        <f t="shared" si="247"/>
        <v>0</v>
      </c>
      <c r="G1091" s="31">
        <f t="shared" si="247"/>
        <v>3881891.1399999997</v>
      </c>
      <c r="H1091" s="31">
        <f t="shared" si="247"/>
        <v>0</v>
      </c>
      <c r="I1091" s="31">
        <f t="shared" si="247"/>
        <v>0</v>
      </c>
      <c r="J1091" s="31">
        <f t="shared" si="247"/>
        <v>0</v>
      </c>
      <c r="K1091" s="33">
        <f t="shared" si="247"/>
        <v>0</v>
      </c>
      <c r="L1091" s="31">
        <f t="shared" si="247"/>
        <v>0</v>
      </c>
      <c r="M1091" s="31">
        <f t="shared" si="247"/>
        <v>0</v>
      </c>
      <c r="N1091" s="31">
        <f t="shared" si="247"/>
        <v>0</v>
      </c>
      <c r="O1091" s="31">
        <f t="shared" si="247"/>
        <v>0</v>
      </c>
      <c r="P1091" s="31">
        <f t="shared" si="247"/>
        <v>0</v>
      </c>
      <c r="Q1091" s="31">
        <f t="shared" si="247"/>
        <v>782.6</v>
      </c>
      <c r="R1091" s="31">
        <f t="shared" si="247"/>
        <v>2719809.65</v>
      </c>
      <c r="S1091" s="31">
        <f t="shared" si="247"/>
        <v>144</v>
      </c>
      <c r="T1091" s="31">
        <f t="shared" si="247"/>
        <v>4061109.75</v>
      </c>
      <c r="U1091" s="31">
        <f t="shared" si="247"/>
        <v>0</v>
      </c>
      <c r="V1091" s="31">
        <f t="shared" si="247"/>
        <v>0</v>
      </c>
      <c r="W1091" s="31">
        <f t="shared" si="247"/>
        <v>0</v>
      </c>
      <c r="X1091" s="31">
        <f t="shared" si="247"/>
        <v>0</v>
      </c>
      <c r="Y1091" s="31">
        <f t="shared" si="247"/>
        <v>0</v>
      </c>
      <c r="Z1091" s="31">
        <f t="shared" si="247"/>
        <v>0</v>
      </c>
      <c r="AA1091" s="31">
        <f t="shared" si="247"/>
        <v>0</v>
      </c>
      <c r="AB1091" s="31">
        <f t="shared" si="247"/>
        <v>0</v>
      </c>
      <c r="AC1091" s="31">
        <f t="shared" si="247"/>
        <v>159942.16</v>
      </c>
      <c r="AD1091" s="31">
        <f t="shared" si="247"/>
        <v>600000</v>
      </c>
      <c r="AE1091" s="31">
        <f t="shared" si="247"/>
        <v>0</v>
      </c>
      <c r="AF1091" s="72" t="s">
        <v>776</v>
      </c>
      <c r="AG1091" s="72" t="s">
        <v>776</v>
      </c>
      <c r="AH1091" s="88" t="s">
        <v>776</v>
      </c>
      <c r="AT1091" s="20" t="e">
        <f t="shared" si="246"/>
        <v>#N/A</v>
      </c>
      <c r="BZ1091" s="71">
        <v>11422752.699999999</v>
      </c>
    </row>
    <row r="1092" spans="1:78" ht="61.5" x14ac:dyDescent="0.85">
      <c r="A1092" s="20">
        <v>1</v>
      </c>
      <c r="B1092" s="66">
        <f>SUBTOTAL(103,$A$963:A1092)</f>
        <v>123</v>
      </c>
      <c r="C1092" s="24" t="s">
        <v>664</v>
      </c>
      <c r="D1092" s="31">
        <f>E1092+F1092+G1092+H1092+I1092+J1092+L1092+N1092+P1092+R1092+T1092+U1092+V1092+W1092+X1092+Y1092+Z1092+AA1092+AB1092+AC1092+AD1092+AE1092</f>
        <v>4240119.51</v>
      </c>
      <c r="E1092" s="38">
        <v>0</v>
      </c>
      <c r="F1092" s="38">
        <v>0</v>
      </c>
      <c r="G1092" s="31">
        <v>3881891.1399999997</v>
      </c>
      <c r="H1092" s="38">
        <v>0</v>
      </c>
      <c r="I1092" s="38">
        <v>0</v>
      </c>
      <c r="J1092" s="38">
        <v>0</v>
      </c>
      <c r="K1092" s="85">
        <v>0</v>
      </c>
      <c r="L1092" s="38">
        <v>0</v>
      </c>
      <c r="M1092" s="31">
        <v>0</v>
      </c>
      <c r="N1092" s="31">
        <v>0</v>
      </c>
      <c r="O1092" s="31">
        <v>0</v>
      </c>
      <c r="P1092" s="31">
        <v>0</v>
      </c>
      <c r="Q1092" s="31">
        <v>0</v>
      </c>
      <c r="R1092" s="31">
        <v>0</v>
      </c>
      <c r="S1092" s="31">
        <v>0</v>
      </c>
      <c r="T1092" s="31">
        <v>0</v>
      </c>
      <c r="U1092" s="31">
        <v>0</v>
      </c>
      <c r="V1092" s="31">
        <v>0</v>
      </c>
      <c r="W1092" s="31">
        <v>0</v>
      </c>
      <c r="X1092" s="31">
        <v>0</v>
      </c>
      <c r="Y1092" s="31">
        <v>0</v>
      </c>
      <c r="Z1092" s="31">
        <v>0</v>
      </c>
      <c r="AA1092" s="31">
        <v>0</v>
      </c>
      <c r="AB1092" s="31">
        <v>0</v>
      </c>
      <c r="AC1092" s="31">
        <f>ROUND((E1092+F1092+G1092+H1092+I1092+J1092)*1.5%,2)</f>
        <v>58228.37</v>
      </c>
      <c r="AD1092" s="31">
        <v>300000</v>
      </c>
      <c r="AE1092" s="31">
        <v>0</v>
      </c>
      <c r="AF1092" s="34">
        <v>2022</v>
      </c>
      <c r="AG1092" s="34">
        <v>2022</v>
      </c>
      <c r="AH1092" s="35">
        <v>2022</v>
      </c>
      <c r="AT1092" s="20" t="e">
        <f t="shared" si="246"/>
        <v>#N/A</v>
      </c>
      <c r="BZ1092" s="71"/>
    </row>
    <row r="1093" spans="1:78" ht="61.5" x14ac:dyDescent="0.85">
      <c r="A1093" s="20">
        <v>1</v>
      </c>
      <c r="B1093" s="66">
        <f>SUBTOTAL(103,$A$963:A1093)</f>
        <v>124</v>
      </c>
      <c r="C1093" s="24" t="s">
        <v>668</v>
      </c>
      <c r="D1093" s="31">
        <f>E1093+F1093+G1093+H1093+I1093+J1093+L1093+N1093+P1093+R1093+T1093+U1093+V1093+W1093+X1093+Y1093+Z1093+AA1093+AB1093+AC1093+AD1093+AE1093</f>
        <v>7182633.1900000004</v>
      </c>
      <c r="E1093" s="38">
        <v>0</v>
      </c>
      <c r="F1093" s="38">
        <v>0</v>
      </c>
      <c r="G1093" s="39">
        <v>0</v>
      </c>
      <c r="H1093" s="38">
        <v>0</v>
      </c>
      <c r="I1093" s="38">
        <v>0</v>
      </c>
      <c r="J1093" s="38">
        <v>0</v>
      </c>
      <c r="K1093" s="85">
        <v>0</v>
      </c>
      <c r="L1093" s="38">
        <v>0</v>
      </c>
      <c r="M1093" s="31">
        <v>0</v>
      </c>
      <c r="N1093" s="31">
        <v>0</v>
      </c>
      <c r="O1093" s="31">
        <v>0</v>
      </c>
      <c r="P1093" s="31">
        <v>0</v>
      </c>
      <c r="Q1093" s="31">
        <v>782.6</v>
      </c>
      <c r="R1093" s="31">
        <v>2719809.65</v>
      </c>
      <c r="S1093" s="31">
        <v>144</v>
      </c>
      <c r="T1093" s="31">
        <v>4061109.75</v>
      </c>
      <c r="U1093" s="31">
        <v>0</v>
      </c>
      <c r="V1093" s="31">
        <v>0</v>
      </c>
      <c r="W1093" s="31">
        <v>0</v>
      </c>
      <c r="X1093" s="31">
        <v>0</v>
      </c>
      <c r="Y1093" s="31">
        <v>0</v>
      </c>
      <c r="Z1093" s="31">
        <v>0</v>
      </c>
      <c r="AA1093" s="31">
        <v>0</v>
      </c>
      <c r="AB1093" s="31">
        <v>0</v>
      </c>
      <c r="AC1093" s="31">
        <f>ROUND((R1093+T1093)*1.5%,2)</f>
        <v>101713.79</v>
      </c>
      <c r="AD1093" s="31">
        <v>300000</v>
      </c>
      <c r="AE1093" s="31">
        <v>0</v>
      </c>
      <c r="AF1093" s="34">
        <v>2022</v>
      </c>
      <c r="AG1093" s="34">
        <v>2022</v>
      </c>
      <c r="AH1093" s="35">
        <v>2022</v>
      </c>
      <c r="AT1093" s="20" t="e">
        <f t="shared" si="246"/>
        <v>#N/A</v>
      </c>
      <c r="BZ1093" s="71"/>
    </row>
    <row r="1094" spans="1:78" ht="61.5" x14ac:dyDescent="0.85">
      <c r="B1094" s="24" t="s">
        <v>843</v>
      </c>
      <c r="C1094" s="24"/>
      <c r="D1094" s="31">
        <f>D1095+D1096</f>
        <v>8756823</v>
      </c>
      <c r="E1094" s="31">
        <f t="shared" ref="E1094:AE1094" si="248">E1095+E1096</f>
        <v>0</v>
      </c>
      <c r="F1094" s="31">
        <f t="shared" si="248"/>
        <v>0</v>
      </c>
      <c r="G1094" s="31">
        <f t="shared" si="248"/>
        <v>0</v>
      </c>
      <c r="H1094" s="31">
        <f t="shared" si="248"/>
        <v>0</v>
      </c>
      <c r="I1094" s="31">
        <f t="shared" si="248"/>
        <v>0</v>
      </c>
      <c r="J1094" s="31">
        <f t="shared" si="248"/>
        <v>0</v>
      </c>
      <c r="K1094" s="33">
        <f t="shared" si="248"/>
        <v>0</v>
      </c>
      <c r="L1094" s="31">
        <f t="shared" si="248"/>
        <v>0</v>
      </c>
      <c r="M1094" s="31">
        <f t="shared" si="248"/>
        <v>1713</v>
      </c>
      <c r="N1094" s="31">
        <f t="shared" si="248"/>
        <v>8331845.3199999994</v>
      </c>
      <c r="O1094" s="31">
        <f t="shared" si="248"/>
        <v>0</v>
      </c>
      <c r="P1094" s="31">
        <f t="shared" si="248"/>
        <v>0</v>
      </c>
      <c r="Q1094" s="31">
        <f t="shared" si="248"/>
        <v>0</v>
      </c>
      <c r="R1094" s="31">
        <f t="shared" si="248"/>
        <v>0</v>
      </c>
      <c r="S1094" s="31">
        <f t="shared" si="248"/>
        <v>0</v>
      </c>
      <c r="T1094" s="31">
        <f t="shared" si="248"/>
        <v>0</v>
      </c>
      <c r="U1094" s="31">
        <f t="shared" si="248"/>
        <v>0</v>
      </c>
      <c r="V1094" s="31">
        <f t="shared" si="248"/>
        <v>0</v>
      </c>
      <c r="W1094" s="31">
        <f t="shared" si="248"/>
        <v>0</v>
      </c>
      <c r="X1094" s="31">
        <f t="shared" si="248"/>
        <v>0</v>
      </c>
      <c r="Y1094" s="31">
        <f t="shared" si="248"/>
        <v>0</v>
      </c>
      <c r="Z1094" s="31">
        <f t="shared" si="248"/>
        <v>0</v>
      </c>
      <c r="AA1094" s="31">
        <f t="shared" si="248"/>
        <v>0</v>
      </c>
      <c r="AB1094" s="31">
        <f t="shared" si="248"/>
        <v>0</v>
      </c>
      <c r="AC1094" s="31">
        <f t="shared" si="248"/>
        <v>124977.68</v>
      </c>
      <c r="AD1094" s="31">
        <f t="shared" si="248"/>
        <v>300000</v>
      </c>
      <c r="AE1094" s="31">
        <f t="shared" si="248"/>
        <v>0</v>
      </c>
      <c r="AF1094" s="72" t="s">
        <v>776</v>
      </c>
      <c r="AG1094" s="72" t="s">
        <v>776</v>
      </c>
      <c r="AH1094" s="88" t="s">
        <v>776</v>
      </c>
      <c r="AT1094" s="20" t="e">
        <f t="shared" si="246"/>
        <v>#N/A</v>
      </c>
      <c r="BZ1094" s="71">
        <v>8756823</v>
      </c>
    </row>
    <row r="1095" spans="1:78" ht="61.5" x14ac:dyDescent="0.85">
      <c r="A1095" s="20">
        <v>1</v>
      </c>
      <c r="B1095" s="66">
        <f>SUBTOTAL(103,$A$963:A1095)</f>
        <v>125</v>
      </c>
      <c r="C1095" s="24" t="s">
        <v>673</v>
      </c>
      <c r="D1095" s="31">
        <f>E1095+F1095+G1095+H1095+I1095+J1095+L1095+N1095+P1095+R1095+T1095+U1095+V1095+W1095+X1095+Y1095+Z1095+AA1095+AB1095+AC1095+AD1095+AE1095</f>
        <v>4146680</v>
      </c>
      <c r="E1095" s="38">
        <v>0</v>
      </c>
      <c r="F1095" s="38">
        <v>0</v>
      </c>
      <c r="G1095" s="38">
        <v>0</v>
      </c>
      <c r="H1095" s="38">
        <v>0</v>
      </c>
      <c r="I1095" s="38">
        <v>0</v>
      </c>
      <c r="J1095" s="38">
        <v>0</v>
      </c>
      <c r="K1095" s="85">
        <v>0</v>
      </c>
      <c r="L1095" s="38">
        <v>0</v>
      </c>
      <c r="M1095" s="31">
        <v>830</v>
      </c>
      <c r="N1095" s="31">
        <v>3937615.76</v>
      </c>
      <c r="O1095" s="31">
        <v>0</v>
      </c>
      <c r="P1095" s="31">
        <v>0</v>
      </c>
      <c r="Q1095" s="31">
        <v>0</v>
      </c>
      <c r="R1095" s="31">
        <v>0</v>
      </c>
      <c r="S1095" s="31">
        <v>0</v>
      </c>
      <c r="T1095" s="31">
        <v>0</v>
      </c>
      <c r="U1095" s="31">
        <v>0</v>
      </c>
      <c r="V1095" s="31">
        <v>0</v>
      </c>
      <c r="W1095" s="31">
        <v>0</v>
      </c>
      <c r="X1095" s="31">
        <v>0</v>
      </c>
      <c r="Y1095" s="31">
        <v>0</v>
      </c>
      <c r="Z1095" s="31">
        <v>0</v>
      </c>
      <c r="AA1095" s="31">
        <v>0</v>
      </c>
      <c r="AB1095" s="31">
        <v>0</v>
      </c>
      <c r="AC1095" s="31">
        <f>ROUND(N1095*1.5%,2)</f>
        <v>59064.24</v>
      </c>
      <c r="AD1095" s="31">
        <v>150000</v>
      </c>
      <c r="AE1095" s="31">
        <v>0</v>
      </c>
      <c r="AF1095" s="34">
        <v>2022</v>
      </c>
      <c r="AG1095" s="34">
        <v>2022</v>
      </c>
      <c r="AH1095" s="35">
        <v>2022</v>
      </c>
      <c r="AT1095" s="20" t="e">
        <f t="shared" si="246"/>
        <v>#N/A</v>
      </c>
      <c r="BZ1095" s="71"/>
    </row>
    <row r="1096" spans="1:78" ht="61.5" x14ac:dyDescent="0.85">
      <c r="A1096" s="20">
        <v>1</v>
      </c>
      <c r="B1096" s="66">
        <f>SUBTOTAL(103,$A$963:A1096)</f>
        <v>126</v>
      </c>
      <c r="C1096" s="24" t="s">
        <v>676</v>
      </c>
      <c r="D1096" s="31">
        <f>E1096+F1096+G1096+H1096+I1096+J1096+L1096+N1096+P1096+R1096+T1096+U1096+V1096+W1096+X1096+Y1096+Z1096+AA1096+AB1096+AC1096+AD1096+AE1096</f>
        <v>4610143</v>
      </c>
      <c r="E1096" s="36">
        <v>0</v>
      </c>
      <c r="F1096" s="36">
        <v>0</v>
      </c>
      <c r="G1096" s="36">
        <v>0</v>
      </c>
      <c r="H1096" s="36">
        <v>0</v>
      </c>
      <c r="I1096" s="36">
        <v>0</v>
      </c>
      <c r="J1096" s="36">
        <v>0</v>
      </c>
      <c r="K1096" s="33">
        <v>0</v>
      </c>
      <c r="L1096" s="31">
        <v>0</v>
      </c>
      <c r="M1096" s="31">
        <v>883</v>
      </c>
      <c r="N1096" s="31">
        <v>4394229.5599999996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1">
        <v>0</v>
      </c>
      <c r="Y1096" s="31">
        <v>0</v>
      </c>
      <c r="Z1096" s="31">
        <v>0</v>
      </c>
      <c r="AA1096" s="31">
        <v>0</v>
      </c>
      <c r="AB1096" s="31">
        <v>0</v>
      </c>
      <c r="AC1096" s="31">
        <f>ROUND(N1096*1.5%,2)</f>
        <v>65913.440000000002</v>
      </c>
      <c r="AD1096" s="31">
        <v>150000</v>
      </c>
      <c r="AE1096" s="31">
        <v>0</v>
      </c>
      <c r="AF1096" s="34">
        <v>2022</v>
      </c>
      <c r="AG1096" s="34">
        <v>2022</v>
      </c>
      <c r="AH1096" s="35">
        <v>2022</v>
      </c>
      <c r="AT1096" s="20" t="e">
        <f t="shared" si="246"/>
        <v>#N/A</v>
      </c>
      <c r="BZ1096" s="71"/>
    </row>
    <row r="1097" spans="1:78" ht="61.5" x14ac:dyDescent="0.85">
      <c r="B1097" s="24" t="s">
        <v>844</v>
      </c>
      <c r="C1097" s="129"/>
      <c r="D1097" s="31">
        <f>D1098</f>
        <v>4369866.08</v>
      </c>
      <c r="E1097" s="31">
        <f t="shared" ref="E1097:AE1097" si="249">E1098</f>
        <v>0</v>
      </c>
      <c r="F1097" s="31">
        <f t="shared" si="249"/>
        <v>0</v>
      </c>
      <c r="G1097" s="31">
        <f t="shared" si="249"/>
        <v>0</v>
      </c>
      <c r="H1097" s="31">
        <f t="shared" si="249"/>
        <v>0</v>
      </c>
      <c r="I1097" s="31">
        <f t="shared" si="249"/>
        <v>0</v>
      </c>
      <c r="J1097" s="31">
        <f t="shared" si="249"/>
        <v>0</v>
      </c>
      <c r="K1097" s="33">
        <f t="shared" si="249"/>
        <v>0</v>
      </c>
      <c r="L1097" s="31">
        <f t="shared" si="249"/>
        <v>0</v>
      </c>
      <c r="M1097" s="31">
        <f t="shared" si="249"/>
        <v>1203</v>
      </c>
      <c r="N1097" s="31">
        <f t="shared" si="249"/>
        <v>4127946.88</v>
      </c>
      <c r="O1097" s="31">
        <f t="shared" si="249"/>
        <v>0</v>
      </c>
      <c r="P1097" s="31">
        <f t="shared" si="249"/>
        <v>0</v>
      </c>
      <c r="Q1097" s="31">
        <f t="shared" si="249"/>
        <v>0</v>
      </c>
      <c r="R1097" s="31">
        <f t="shared" si="249"/>
        <v>0</v>
      </c>
      <c r="S1097" s="31">
        <f t="shared" si="249"/>
        <v>0</v>
      </c>
      <c r="T1097" s="31">
        <f t="shared" si="249"/>
        <v>0</v>
      </c>
      <c r="U1097" s="31">
        <f t="shared" si="249"/>
        <v>0</v>
      </c>
      <c r="V1097" s="31">
        <f t="shared" si="249"/>
        <v>0</v>
      </c>
      <c r="W1097" s="31">
        <f t="shared" si="249"/>
        <v>0</v>
      </c>
      <c r="X1097" s="31">
        <f t="shared" si="249"/>
        <v>0</v>
      </c>
      <c r="Y1097" s="31">
        <f t="shared" si="249"/>
        <v>0</v>
      </c>
      <c r="Z1097" s="31">
        <f t="shared" si="249"/>
        <v>0</v>
      </c>
      <c r="AA1097" s="31">
        <f t="shared" si="249"/>
        <v>0</v>
      </c>
      <c r="AB1097" s="31">
        <f t="shared" si="249"/>
        <v>0</v>
      </c>
      <c r="AC1097" s="31">
        <f t="shared" si="249"/>
        <v>61919.199999999997</v>
      </c>
      <c r="AD1097" s="31">
        <f t="shared" si="249"/>
        <v>180000</v>
      </c>
      <c r="AE1097" s="31">
        <f t="shared" si="249"/>
        <v>0</v>
      </c>
      <c r="AF1097" s="72" t="s">
        <v>776</v>
      </c>
      <c r="AG1097" s="72" t="s">
        <v>776</v>
      </c>
      <c r="AH1097" s="88" t="s">
        <v>776</v>
      </c>
      <c r="AT1097" s="20" t="e">
        <f t="shared" si="246"/>
        <v>#N/A</v>
      </c>
      <c r="BZ1097" s="71">
        <v>4369866.08</v>
      </c>
    </row>
    <row r="1098" spans="1:78" ht="61.5" x14ac:dyDescent="0.85">
      <c r="A1098" s="20">
        <v>1</v>
      </c>
      <c r="B1098" s="66">
        <f>SUBTOTAL(103,$A$963:A1098)</f>
        <v>127</v>
      </c>
      <c r="C1098" s="177" t="s">
        <v>697</v>
      </c>
      <c r="D1098" s="31">
        <f>E1098+F1098+G1098+H1098+I1098+J1098+L1098+N1098+P1098+R1098+T1098+U1098+V1098+W1098+X1098+Y1098+Z1098+AA1098+AB1098+AC1098+AD1098+AE1098</f>
        <v>4369866.08</v>
      </c>
      <c r="E1098" s="31">
        <v>0</v>
      </c>
      <c r="F1098" s="31">
        <v>0</v>
      </c>
      <c r="G1098" s="31">
        <v>0</v>
      </c>
      <c r="H1098" s="31">
        <v>0</v>
      </c>
      <c r="I1098" s="31">
        <v>0</v>
      </c>
      <c r="J1098" s="31">
        <v>0</v>
      </c>
      <c r="K1098" s="33">
        <v>0</v>
      </c>
      <c r="L1098" s="31">
        <v>0</v>
      </c>
      <c r="M1098" s="31">
        <v>1203</v>
      </c>
      <c r="N1098" s="31">
        <v>4127946.88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0</v>
      </c>
      <c r="U1098" s="31">
        <v>0</v>
      </c>
      <c r="V1098" s="31">
        <v>0</v>
      </c>
      <c r="W1098" s="31">
        <v>0</v>
      </c>
      <c r="X1098" s="31">
        <v>0</v>
      </c>
      <c r="Y1098" s="31">
        <v>0</v>
      </c>
      <c r="Z1098" s="31">
        <v>0</v>
      </c>
      <c r="AA1098" s="31">
        <v>0</v>
      </c>
      <c r="AB1098" s="31">
        <v>0</v>
      </c>
      <c r="AC1098" s="31">
        <f>ROUND(N1098*1.5%,2)</f>
        <v>61919.199999999997</v>
      </c>
      <c r="AD1098" s="31">
        <v>180000</v>
      </c>
      <c r="AE1098" s="31">
        <v>0</v>
      </c>
      <c r="AF1098" s="34">
        <v>2022</v>
      </c>
      <c r="AG1098" s="34">
        <v>2022</v>
      </c>
      <c r="AH1098" s="35">
        <v>2022</v>
      </c>
      <c r="AT1098" s="20" t="e">
        <f t="shared" si="246"/>
        <v>#N/A</v>
      </c>
      <c r="BZ1098" s="71"/>
    </row>
    <row r="1099" spans="1:78" ht="61.5" x14ac:dyDescent="0.85">
      <c r="B1099" s="24" t="s">
        <v>845</v>
      </c>
      <c r="C1099" s="24"/>
      <c r="D1099" s="31">
        <f>D1100</f>
        <v>2936950.21</v>
      </c>
      <c r="E1099" s="31">
        <f t="shared" ref="E1099:AE1099" si="250">E1100</f>
        <v>0</v>
      </c>
      <c r="F1099" s="31">
        <f t="shared" si="250"/>
        <v>0</v>
      </c>
      <c r="G1099" s="31">
        <f t="shared" si="250"/>
        <v>0</v>
      </c>
      <c r="H1099" s="31">
        <f t="shared" si="250"/>
        <v>0</v>
      </c>
      <c r="I1099" s="31">
        <f t="shared" si="250"/>
        <v>0</v>
      </c>
      <c r="J1099" s="31">
        <f t="shared" si="250"/>
        <v>0</v>
      </c>
      <c r="K1099" s="33">
        <f t="shared" si="250"/>
        <v>0</v>
      </c>
      <c r="L1099" s="31">
        <f t="shared" si="250"/>
        <v>0</v>
      </c>
      <c r="M1099" s="31">
        <f t="shared" si="250"/>
        <v>0</v>
      </c>
      <c r="N1099" s="31">
        <f t="shared" si="250"/>
        <v>0</v>
      </c>
      <c r="O1099" s="31">
        <f t="shared" si="250"/>
        <v>0</v>
      </c>
      <c r="P1099" s="31">
        <f t="shared" si="250"/>
        <v>0</v>
      </c>
      <c r="Q1099" s="31">
        <f t="shared" si="250"/>
        <v>787</v>
      </c>
      <c r="R1099" s="31">
        <f t="shared" si="250"/>
        <v>2765468.19</v>
      </c>
      <c r="S1099" s="31">
        <f t="shared" si="250"/>
        <v>0</v>
      </c>
      <c r="T1099" s="31">
        <f t="shared" si="250"/>
        <v>0</v>
      </c>
      <c r="U1099" s="31">
        <f t="shared" si="250"/>
        <v>0</v>
      </c>
      <c r="V1099" s="31">
        <f t="shared" si="250"/>
        <v>0</v>
      </c>
      <c r="W1099" s="31">
        <f t="shared" si="250"/>
        <v>0</v>
      </c>
      <c r="X1099" s="31">
        <f t="shared" si="250"/>
        <v>0</v>
      </c>
      <c r="Y1099" s="31">
        <f t="shared" si="250"/>
        <v>0</v>
      </c>
      <c r="Z1099" s="31">
        <f t="shared" si="250"/>
        <v>0</v>
      </c>
      <c r="AA1099" s="31">
        <f t="shared" si="250"/>
        <v>0</v>
      </c>
      <c r="AB1099" s="31">
        <f t="shared" si="250"/>
        <v>0</v>
      </c>
      <c r="AC1099" s="31">
        <f t="shared" si="250"/>
        <v>41482.019999999997</v>
      </c>
      <c r="AD1099" s="31">
        <f t="shared" si="250"/>
        <v>130000</v>
      </c>
      <c r="AE1099" s="31">
        <f t="shared" si="250"/>
        <v>0</v>
      </c>
      <c r="AF1099" s="72" t="s">
        <v>776</v>
      </c>
      <c r="AG1099" s="72" t="s">
        <v>776</v>
      </c>
      <c r="AH1099" s="88" t="s">
        <v>776</v>
      </c>
      <c r="AT1099" s="20" t="e">
        <f t="shared" si="246"/>
        <v>#N/A</v>
      </c>
      <c r="BZ1099" s="71">
        <v>2936950.21</v>
      </c>
    </row>
    <row r="1100" spans="1:78" ht="61.5" x14ac:dyDescent="0.85">
      <c r="A1100" s="20">
        <v>1</v>
      </c>
      <c r="B1100" s="66">
        <f>SUBTOTAL(103,$A$963:A1100)</f>
        <v>128</v>
      </c>
      <c r="C1100" s="177" t="s">
        <v>712</v>
      </c>
      <c r="D1100" s="31">
        <f>E1100+F1100+G1100+H1100+I1100+J1100+L1100+N1100+P1100+R1100+T1100+U1100+V1100+W1100+X1100+Y1100+Z1100+AA1100+AB1100+AC1100+AD1100+AE1100</f>
        <v>2936950.21</v>
      </c>
      <c r="E1100" s="31">
        <v>0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3">
        <v>0</v>
      </c>
      <c r="L1100" s="31">
        <v>0</v>
      </c>
      <c r="M1100" s="31">
        <v>0</v>
      </c>
      <c r="N1100" s="31">
        <v>0</v>
      </c>
      <c r="O1100" s="31">
        <v>0</v>
      </c>
      <c r="P1100" s="31">
        <v>0</v>
      </c>
      <c r="Q1100" s="31">
        <v>787</v>
      </c>
      <c r="R1100" s="31">
        <v>2765468.19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1">
        <v>0</v>
      </c>
      <c r="Y1100" s="31">
        <v>0</v>
      </c>
      <c r="Z1100" s="31">
        <v>0</v>
      </c>
      <c r="AA1100" s="31">
        <v>0</v>
      </c>
      <c r="AB1100" s="31">
        <v>0</v>
      </c>
      <c r="AC1100" s="31">
        <f>ROUND(R1100*1.5%,2)</f>
        <v>41482.019999999997</v>
      </c>
      <c r="AD1100" s="31">
        <v>130000</v>
      </c>
      <c r="AE1100" s="31">
        <v>0</v>
      </c>
      <c r="AF1100" s="34">
        <v>2022</v>
      </c>
      <c r="AG1100" s="34">
        <v>2022</v>
      </c>
      <c r="AH1100" s="35">
        <v>2022</v>
      </c>
      <c r="AT1100" s="20" t="e">
        <f t="shared" si="246"/>
        <v>#N/A</v>
      </c>
      <c r="BZ1100" s="71"/>
    </row>
    <row r="1101" spans="1:78" ht="61.5" x14ac:dyDescent="0.85">
      <c r="B1101" s="24" t="s">
        <v>846</v>
      </c>
      <c r="C1101" s="24"/>
      <c r="D1101" s="31">
        <f>D1102+D1103</f>
        <v>2773728.46</v>
      </c>
      <c r="E1101" s="31">
        <f t="shared" ref="E1101:AE1101" si="251">E1102+E1103</f>
        <v>0</v>
      </c>
      <c r="F1101" s="31">
        <f t="shared" si="251"/>
        <v>0</v>
      </c>
      <c r="G1101" s="31">
        <f t="shared" si="251"/>
        <v>0</v>
      </c>
      <c r="H1101" s="31">
        <f t="shared" si="251"/>
        <v>0</v>
      </c>
      <c r="I1101" s="31">
        <f t="shared" si="251"/>
        <v>191760.14</v>
      </c>
      <c r="J1101" s="31">
        <f t="shared" si="251"/>
        <v>0</v>
      </c>
      <c r="K1101" s="33">
        <f t="shared" si="251"/>
        <v>0</v>
      </c>
      <c r="L1101" s="31">
        <f t="shared" si="251"/>
        <v>0</v>
      </c>
      <c r="M1101" s="31">
        <f t="shared" si="251"/>
        <v>628</v>
      </c>
      <c r="N1101" s="31">
        <f t="shared" si="251"/>
        <v>2353785.14</v>
      </c>
      <c r="O1101" s="31">
        <f t="shared" si="251"/>
        <v>0</v>
      </c>
      <c r="P1101" s="31">
        <f t="shared" si="251"/>
        <v>0</v>
      </c>
      <c r="Q1101" s="31">
        <f t="shared" si="251"/>
        <v>0</v>
      </c>
      <c r="R1101" s="31">
        <f t="shared" si="251"/>
        <v>0</v>
      </c>
      <c r="S1101" s="31">
        <f t="shared" si="251"/>
        <v>0</v>
      </c>
      <c r="T1101" s="31">
        <f t="shared" si="251"/>
        <v>0</v>
      </c>
      <c r="U1101" s="31">
        <f t="shared" si="251"/>
        <v>0</v>
      </c>
      <c r="V1101" s="31">
        <f t="shared" si="251"/>
        <v>0</v>
      </c>
      <c r="W1101" s="31">
        <f t="shared" si="251"/>
        <v>0</v>
      </c>
      <c r="X1101" s="31">
        <f t="shared" si="251"/>
        <v>0</v>
      </c>
      <c r="Y1101" s="31">
        <f t="shared" si="251"/>
        <v>0</v>
      </c>
      <c r="Z1101" s="31">
        <f t="shared" si="251"/>
        <v>0</v>
      </c>
      <c r="AA1101" s="31">
        <f t="shared" si="251"/>
        <v>0</v>
      </c>
      <c r="AB1101" s="31">
        <f t="shared" si="251"/>
        <v>0</v>
      </c>
      <c r="AC1101" s="31">
        <f t="shared" si="251"/>
        <v>38183.18</v>
      </c>
      <c r="AD1101" s="31">
        <f t="shared" si="251"/>
        <v>190000</v>
      </c>
      <c r="AE1101" s="31">
        <f t="shared" si="251"/>
        <v>0</v>
      </c>
      <c r="AF1101" s="72" t="s">
        <v>776</v>
      </c>
      <c r="AG1101" s="72" t="s">
        <v>776</v>
      </c>
      <c r="AH1101" s="88" t="s">
        <v>776</v>
      </c>
      <c r="AT1101" s="20" t="e">
        <f t="shared" si="246"/>
        <v>#N/A</v>
      </c>
      <c r="BZ1101" s="71">
        <v>2773728.46</v>
      </c>
    </row>
    <row r="1102" spans="1:78" ht="61.5" x14ac:dyDescent="0.85">
      <c r="A1102" s="20">
        <v>1</v>
      </c>
      <c r="B1102" s="66">
        <f>SUBTOTAL(103,$A$963:A1102)</f>
        <v>129</v>
      </c>
      <c r="C1102" s="177" t="s">
        <v>704</v>
      </c>
      <c r="D1102" s="31">
        <f>E1102+F1102+G1102+H1102+I1102+J1102+L1102+N1102+P1102+R1102+T1102+U1102+V1102+W1102+X1102+Y1102+Z1102+AA1102+AB1102+AC1102+AD1102+AE1102</f>
        <v>2539091.92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3">
        <v>0</v>
      </c>
      <c r="L1102" s="31">
        <v>0</v>
      </c>
      <c r="M1102" s="31">
        <v>628</v>
      </c>
      <c r="N1102" s="31">
        <v>2353785.14</v>
      </c>
      <c r="O1102" s="31">
        <v>0</v>
      </c>
      <c r="P1102" s="31">
        <v>0</v>
      </c>
      <c r="Q1102" s="31">
        <v>0</v>
      </c>
      <c r="R1102" s="31">
        <v>0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1">
        <v>0</v>
      </c>
      <c r="Y1102" s="31">
        <v>0</v>
      </c>
      <c r="Z1102" s="31">
        <v>0</v>
      </c>
      <c r="AA1102" s="31">
        <v>0</v>
      </c>
      <c r="AB1102" s="31">
        <v>0</v>
      </c>
      <c r="AC1102" s="31">
        <f>ROUND(N1102*1.5%,2)</f>
        <v>35306.78</v>
      </c>
      <c r="AD1102" s="31">
        <v>150000</v>
      </c>
      <c r="AE1102" s="31">
        <v>0</v>
      </c>
      <c r="AF1102" s="34">
        <v>2022</v>
      </c>
      <c r="AG1102" s="34">
        <v>2022</v>
      </c>
      <c r="AH1102" s="35">
        <v>2022</v>
      </c>
      <c r="AT1102" s="20" t="e">
        <f t="shared" si="246"/>
        <v>#N/A</v>
      </c>
      <c r="BZ1102" s="71"/>
    </row>
    <row r="1103" spans="1:78" ht="61.5" x14ac:dyDescent="0.85">
      <c r="A1103" s="20">
        <v>1</v>
      </c>
      <c r="B1103" s="66">
        <f>SUBTOTAL(103,$A$963:A1103)</f>
        <v>130</v>
      </c>
      <c r="C1103" s="177" t="s">
        <v>715</v>
      </c>
      <c r="D1103" s="31">
        <f>E1103+F1103+G1103+H1103+I1103+J1103+L1103+N1103+P1103+R1103+T1103+U1103+V1103+W1103+X1103+Y1103+Z1103+AA1103+AB1103+AC1103+AD1103+AE1103</f>
        <v>234636.54</v>
      </c>
      <c r="E1103" s="31">
        <v>0</v>
      </c>
      <c r="F1103" s="31">
        <v>0</v>
      </c>
      <c r="G1103" s="31">
        <v>0</v>
      </c>
      <c r="H1103" s="31">
        <v>0</v>
      </c>
      <c r="I1103" s="31">
        <v>191760.14</v>
      </c>
      <c r="J1103" s="31">
        <v>0</v>
      </c>
      <c r="K1103" s="33">
        <v>0</v>
      </c>
      <c r="L1103" s="31">
        <v>0</v>
      </c>
      <c r="M1103" s="31">
        <v>0</v>
      </c>
      <c r="N1103" s="31">
        <v>0</v>
      </c>
      <c r="O1103" s="31">
        <v>0</v>
      </c>
      <c r="P1103" s="31">
        <v>0</v>
      </c>
      <c r="Q1103" s="31">
        <v>0</v>
      </c>
      <c r="R1103" s="31">
        <v>0</v>
      </c>
      <c r="S1103" s="31">
        <v>0</v>
      </c>
      <c r="T1103" s="31">
        <v>0</v>
      </c>
      <c r="U1103" s="31">
        <v>0</v>
      </c>
      <c r="V1103" s="31">
        <v>0</v>
      </c>
      <c r="W1103" s="31">
        <v>0</v>
      </c>
      <c r="X1103" s="31">
        <v>0</v>
      </c>
      <c r="Y1103" s="31">
        <v>0</v>
      </c>
      <c r="Z1103" s="31">
        <v>0</v>
      </c>
      <c r="AA1103" s="31">
        <v>0</v>
      </c>
      <c r="AB1103" s="31">
        <v>0</v>
      </c>
      <c r="AC1103" s="31">
        <f>ROUND((E1103+F1103+G1103+H1103+I1103+J1103)*1.5%,2)</f>
        <v>2876.4</v>
      </c>
      <c r="AD1103" s="31">
        <v>40000</v>
      </c>
      <c r="AE1103" s="31">
        <v>0</v>
      </c>
      <c r="AF1103" s="34">
        <v>2022</v>
      </c>
      <c r="AG1103" s="34">
        <v>2022</v>
      </c>
      <c r="AH1103" s="35">
        <v>2022</v>
      </c>
      <c r="AT1103" s="20" t="e">
        <f t="shared" si="246"/>
        <v>#N/A</v>
      </c>
      <c r="BZ1103" s="71"/>
    </row>
    <row r="1104" spans="1:78" ht="61.5" x14ac:dyDescent="0.85">
      <c r="B1104" s="24" t="s">
        <v>909</v>
      </c>
      <c r="C1104" s="24"/>
      <c r="D1104" s="31">
        <f>D1105</f>
        <v>2158336.3499999996</v>
      </c>
      <c r="E1104" s="31">
        <f t="shared" ref="E1104:AE1104" si="252">E1105</f>
        <v>0</v>
      </c>
      <c r="F1104" s="31">
        <f t="shared" si="252"/>
        <v>0</v>
      </c>
      <c r="G1104" s="31">
        <f t="shared" si="252"/>
        <v>0</v>
      </c>
      <c r="H1104" s="31">
        <f t="shared" si="252"/>
        <v>0</v>
      </c>
      <c r="I1104" s="31">
        <f t="shared" si="252"/>
        <v>0</v>
      </c>
      <c r="J1104" s="31">
        <f t="shared" si="252"/>
        <v>0</v>
      </c>
      <c r="K1104" s="33">
        <f t="shared" si="252"/>
        <v>0</v>
      </c>
      <c r="L1104" s="31">
        <f t="shared" si="252"/>
        <v>0</v>
      </c>
      <c r="M1104" s="31">
        <f t="shared" si="252"/>
        <v>393</v>
      </c>
      <c r="N1104" s="31">
        <f t="shared" si="252"/>
        <v>2008213.15</v>
      </c>
      <c r="O1104" s="31">
        <f t="shared" si="252"/>
        <v>0</v>
      </c>
      <c r="P1104" s="31">
        <f t="shared" si="252"/>
        <v>0</v>
      </c>
      <c r="Q1104" s="31">
        <f t="shared" si="252"/>
        <v>0</v>
      </c>
      <c r="R1104" s="31">
        <f t="shared" si="252"/>
        <v>0</v>
      </c>
      <c r="S1104" s="31">
        <f t="shared" si="252"/>
        <v>0</v>
      </c>
      <c r="T1104" s="31">
        <f t="shared" si="252"/>
        <v>0</v>
      </c>
      <c r="U1104" s="31">
        <f t="shared" si="252"/>
        <v>0</v>
      </c>
      <c r="V1104" s="31">
        <f t="shared" si="252"/>
        <v>0</v>
      </c>
      <c r="W1104" s="31">
        <f t="shared" si="252"/>
        <v>0</v>
      </c>
      <c r="X1104" s="31">
        <f t="shared" si="252"/>
        <v>0</v>
      </c>
      <c r="Y1104" s="31">
        <f t="shared" si="252"/>
        <v>0</v>
      </c>
      <c r="Z1104" s="31">
        <f t="shared" si="252"/>
        <v>0</v>
      </c>
      <c r="AA1104" s="31">
        <f t="shared" si="252"/>
        <v>0</v>
      </c>
      <c r="AB1104" s="31">
        <f t="shared" si="252"/>
        <v>0</v>
      </c>
      <c r="AC1104" s="31">
        <f t="shared" si="252"/>
        <v>30123.200000000001</v>
      </c>
      <c r="AD1104" s="31">
        <f t="shared" si="252"/>
        <v>120000</v>
      </c>
      <c r="AE1104" s="31">
        <f t="shared" si="252"/>
        <v>0</v>
      </c>
      <c r="AF1104" s="72" t="s">
        <v>776</v>
      </c>
      <c r="AG1104" s="72" t="s">
        <v>776</v>
      </c>
      <c r="AH1104" s="88" t="s">
        <v>776</v>
      </c>
      <c r="AT1104" s="20" t="e">
        <f t="shared" si="246"/>
        <v>#N/A</v>
      </c>
      <c r="BZ1104" s="71">
        <v>2158336.3499999996</v>
      </c>
    </row>
    <row r="1105" spans="1:78" ht="61.5" x14ac:dyDescent="0.85">
      <c r="A1105" s="20">
        <v>1</v>
      </c>
      <c r="B1105" s="66">
        <f>SUBTOTAL(103,$A$963:A1105)</f>
        <v>131</v>
      </c>
      <c r="C1105" s="177" t="s">
        <v>696</v>
      </c>
      <c r="D1105" s="31">
        <f>E1105+F1105+G1105+H1105+I1105+J1105+L1105+N1105+P1105+R1105+T1105+U1105+V1105+W1105+X1105+Y1105+Z1105+AA1105+AB1105+AC1105+AD1105+AE1105</f>
        <v>2158336.3499999996</v>
      </c>
      <c r="E1105" s="31">
        <v>0</v>
      </c>
      <c r="F1105" s="31">
        <v>0</v>
      </c>
      <c r="G1105" s="31">
        <v>0</v>
      </c>
      <c r="H1105" s="31">
        <v>0</v>
      </c>
      <c r="I1105" s="31">
        <v>0</v>
      </c>
      <c r="J1105" s="31">
        <v>0</v>
      </c>
      <c r="K1105" s="33">
        <v>0</v>
      </c>
      <c r="L1105" s="31">
        <v>0</v>
      </c>
      <c r="M1105" s="31">
        <v>393</v>
      </c>
      <c r="N1105" s="31">
        <v>2008213.15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1">
        <v>0</v>
      </c>
      <c r="Y1105" s="31">
        <v>0</v>
      </c>
      <c r="Z1105" s="31">
        <v>0</v>
      </c>
      <c r="AA1105" s="31">
        <v>0</v>
      </c>
      <c r="AB1105" s="31">
        <v>0</v>
      </c>
      <c r="AC1105" s="31">
        <f>ROUND(N1105*1.5%,2)</f>
        <v>30123.200000000001</v>
      </c>
      <c r="AD1105" s="31">
        <v>120000</v>
      </c>
      <c r="AE1105" s="31">
        <v>0</v>
      </c>
      <c r="AF1105" s="34">
        <v>2022</v>
      </c>
      <c r="AG1105" s="34">
        <v>2022</v>
      </c>
      <c r="AH1105" s="35">
        <v>2022</v>
      </c>
      <c r="AT1105" s="20" t="e">
        <f t="shared" si="246"/>
        <v>#N/A</v>
      </c>
      <c r="BZ1105" s="71"/>
    </row>
    <row r="1106" spans="1:78" ht="61.5" x14ac:dyDescent="0.85">
      <c r="B1106" s="24" t="s">
        <v>847</v>
      </c>
      <c r="C1106" s="24"/>
      <c r="D1106" s="31">
        <f>D1107</f>
        <v>2000000</v>
      </c>
      <c r="E1106" s="31">
        <f t="shared" ref="E1106:AE1106" si="253">E1107</f>
        <v>0</v>
      </c>
      <c r="F1106" s="31">
        <f t="shared" si="253"/>
        <v>0</v>
      </c>
      <c r="G1106" s="31">
        <f t="shared" si="253"/>
        <v>0</v>
      </c>
      <c r="H1106" s="31">
        <f t="shared" si="253"/>
        <v>0</v>
      </c>
      <c r="I1106" s="31">
        <f t="shared" si="253"/>
        <v>0</v>
      </c>
      <c r="J1106" s="31">
        <f t="shared" si="253"/>
        <v>0</v>
      </c>
      <c r="K1106" s="33">
        <f t="shared" si="253"/>
        <v>0</v>
      </c>
      <c r="L1106" s="31">
        <f t="shared" si="253"/>
        <v>0</v>
      </c>
      <c r="M1106" s="31">
        <f t="shared" si="253"/>
        <v>674.9</v>
      </c>
      <c r="N1106" s="31">
        <f t="shared" si="253"/>
        <v>1822660.1</v>
      </c>
      <c r="O1106" s="31">
        <f t="shared" si="253"/>
        <v>0</v>
      </c>
      <c r="P1106" s="31">
        <f t="shared" si="253"/>
        <v>0</v>
      </c>
      <c r="Q1106" s="31">
        <f t="shared" si="253"/>
        <v>0</v>
      </c>
      <c r="R1106" s="31">
        <f t="shared" si="253"/>
        <v>0</v>
      </c>
      <c r="S1106" s="31">
        <f t="shared" si="253"/>
        <v>0</v>
      </c>
      <c r="T1106" s="31">
        <f t="shared" si="253"/>
        <v>0</v>
      </c>
      <c r="U1106" s="31">
        <f t="shared" si="253"/>
        <v>0</v>
      </c>
      <c r="V1106" s="31">
        <f t="shared" si="253"/>
        <v>0</v>
      </c>
      <c r="W1106" s="31">
        <f t="shared" si="253"/>
        <v>0</v>
      </c>
      <c r="X1106" s="31">
        <f t="shared" si="253"/>
        <v>0</v>
      </c>
      <c r="Y1106" s="31">
        <f t="shared" si="253"/>
        <v>0</v>
      </c>
      <c r="Z1106" s="31">
        <f t="shared" si="253"/>
        <v>0</v>
      </c>
      <c r="AA1106" s="31">
        <f t="shared" si="253"/>
        <v>0</v>
      </c>
      <c r="AB1106" s="31">
        <f t="shared" si="253"/>
        <v>0</v>
      </c>
      <c r="AC1106" s="31">
        <f t="shared" si="253"/>
        <v>27339.9</v>
      </c>
      <c r="AD1106" s="31">
        <f t="shared" si="253"/>
        <v>150000</v>
      </c>
      <c r="AE1106" s="31">
        <f t="shared" si="253"/>
        <v>0</v>
      </c>
      <c r="AF1106" s="72" t="s">
        <v>776</v>
      </c>
      <c r="AG1106" s="72" t="s">
        <v>776</v>
      </c>
      <c r="AH1106" s="88" t="s">
        <v>776</v>
      </c>
      <c r="AT1106" s="20" t="e">
        <f t="shared" si="246"/>
        <v>#N/A</v>
      </c>
      <c r="BZ1106" s="71">
        <v>2000000</v>
      </c>
    </row>
    <row r="1107" spans="1:78" ht="61.5" x14ac:dyDescent="0.85">
      <c r="A1107" s="20">
        <v>1</v>
      </c>
      <c r="B1107" s="66">
        <f>SUBTOTAL(103,$A$963:A1107)</f>
        <v>132</v>
      </c>
      <c r="C1107" s="24" t="s">
        <v>711</v>
      </c>
      <c r="D1107" s="31">
        <f>E1107+F1107+G1107+H1107+I1107+J1107+L1107+N1107+P1107+R1107+T1107+U1107+V1107+W1107+X1107+Y1107+Z1107+AA1107+AB1107+AC1107+AD1107+AE1107</f>
        <v>2000000</v>
      </c>
      <c r="E1107" s="31">
        <v>0</v>
      </c>
      <c r="F1107" s="31">
        <v>0</v>
      </c>
      <c r="G1107" s="31">
        <v>0</v>
      </c>
      <c r="H1107" s="31">
        <v>0</v>
      </c>
      <c r="I1107" s="31">
        <v>0</v>
      </c>
      <c r="J1107" s="31">
        <v>0</v>
      </c>
      <c r="K1107" s="33">
        <v>0</v>
      </c>
      <c r="L1107" s="31">
        <v>0</v>
      </c>
      <c r="M1107" s="31">
        <v>674.9</v>
      </c>
      <c r="N1107" s="31">
        <v>1822660.1</v>
      </c>
      <c r="O1107" s="31">
        <v>0</v>
      </c>
      <c r="P1107" s="31">
        <v>0</v>
      </c>
      <c r="Q1107" s="31">
        <v>0</v>
      </c>
      <c r="R1107" s="31">
        <v>0</v>
      </c>
      <c r="S1107" s="31">
        <v>0</v>
      </c>
      <c r="T1107" s="31">
        <v>0</v>
      </c>
      <c r="U1107" s="31">
        <v>0</v>
      </c>
      <c r="V1107" s="31">
        <v>0</v>
      </c>
      <c r="W1107" s="31">
        <v>0</v>
      </c>
      <c r="X1107" s="31">
        <v>0</v>
      </c>
      <c r="Y1107" s="31">
        <v>0</v>
      </c>
      <c r="Z1107" s="31">
        <v>0</v>
      </c>
      <c r="AA1107" s="31">
        <v>0</v>
      </c>
      <c r="AB1107" s="31">
        <v>0</v>
      </c>
      <c r="AC1107" s="31">
        <f>ROUND(N1107*1.5%,2)</f>
        <v>27339.9</v>
      </c>
      <c r="AD1107" s="31">
        <v>150000</v>
      </c>
      <c r="AE1107" s="31">
        <v>0</v>
      </c>
      <c r="AF1107" s="34">
        <v>2022</v>
      </c>
      <c r="AG1107" s="34">
        <v>2022</v>
      </c>
      <c r="AH1107" s="35">
        <v>2022</v>
      </c>
      <c r="AT1107" s="20" t="e">
        <f t="shared" si="246"/>
        <v>#N/A</v>
      </c>
      <c r="BZ1107" s="71"/>
    </row>
    <row r="1108" spans="1:78" ht="61.5" x14ac:dyDescent="0.85">
      <c r="B1108" s="24" t="s">
        <v>848</v>
      </c>
      <c r="C1108" s="24"/>
      <c r="D1108" s="31">
        <f>SUM(D1109:D1115)</f>
        <v>23342011.919999998</v>
      </c>
      <c r="E1108" s="31">
        <f t="shared" ref="E1108:AE1108" si="254">SUM(E1109:E1115)</f>
        <v>0</v>
      </c>
      <c r="F1108" s="31">
        <f t="shared" si="254"/>
        <v>0</v>
      </c>
      <c r="G1108" s="31">
        <f t="shared" si="254"/>
        <v>0</v>
      </c>
      <c r="H1108" s="31">
        <f t="shared" si="254"/>
        <v>0</v>
      </c>
      <c r="I1108" s="31">
        <f t="shared" si="254"/>
        <v>0</v>
      </c>
      <c r="J1108" s="31">
        <f t="shared" si="254"/>
        <v>0</v>
      </c>
      <c r="K1108" s="33">
        <f t="shared" si="254"/>
        <v>2</v>
      </c>
      <c r="L1108" s="31">
        <f t="shared" si="254"/>
        <v>4396606</v>
      </c>
      <c r="M1108" s="31">
        <f t="shared" si="254"/>
        <v>3160.6</v>
      </c>
      <c r="N1108" s="31">
        <f t="shared" si="254"/>
        <v>14844392.530000001</v>
      </c>
      <c r="O1108" s="31">
        <f t="shared" si="254"/>
        <v>0</v>
      </c>
      <c r="P1108" s="31">
        <f t="shared" si="254"/>
        <v>0</v>
      </c>
      <c r="Q1108" s="31">
        <f t="shared" si="254"/>
        <v>585.5</v>
      </c>
      <c r="R1108" s="31">
        <f t="shared" si="254"/>
        <v>2766844.83</v>
      </c>
      <c r="S1108" s="31">
        <f t="shared" si="254"/>
        <v>0</v>
      </c>
      <c r="T1108" s="31">
        <f t="shared" si="254"/>
        <v>0</v>
      </c>
      <c r="U1108" s="31">
        <f t="shared" si="254"/>
        <v>0</v>
      </c>
      <c r="V1108" s="31">
        <f t="shared" si="254"/>
        <v>0</v>
      </c>
      <c r="W1108" s="31">
        <f t="shared" si="254"/>
        <v>0</v>
      </c>
      <c r="X1108" s="31">
        <f t="shared" si="254"/>
        <v>0</v>
      </c>
      <c r="Y1108" s="31">
        <f t="shared" si="254"/>
        <v>0</v>
      </c>
      <c r="Z1108" s="31">
        <f t="shared" si="254"/>
        <v>0</v>
      </c>
      <c r="AA1108" s="31">
        <f t="shared" si="254"/>
        <v>0</v>
      </c>
      <c r="AB1108" s="31">
        <f t="shared" si="254"/>
        <v>0</v>
      </c>
      <c r="AC1108" s="31">
        <f t="shared" si="254"/>
        <v>264168.56</v>
      </c>
      <c r="AD1108" s="31">
        <f t="shared" si="254"/>
        <v>950000</v>
      </c>
      <c r="AE1108" s="31">
        <f t="shared" si="254"/>
        <v>120000</v>
      </c>
      <c r="AF1108" s="72" t="s">
        <v>776</v>
      </c>
      <c r="AG1108" s="72" t="s">
        <v>776</v>
      </c>
      <c r="AH1108" s="88" t="s">
        <v>776</v>
      </c>
      <c r="AT1108" s="20" t="e">
        <f t="shared" si="246"/>
        <v>#N/A</v>
      </c>
      <c r="BZ1108" s="71">
        <v>23342011.919999998</v>
      </c>
    </row>
    <row r="1109" spans="1:78" ht="61.5" x14ac:dyDescent="0.85">
      <c r="A1109" s="20">
        <v>1</v>
      </c>
      <c r="B1109" s="66">
        <f>SUBTOTAL(103,$A$963:A1109)</f>
        <v>133</v>
      </c>
      <c r="C1109" s="177" t="s">
        <v>683</v>
      </c>
      <c r="D1109" s="31">
        <f t="shared" ref="D1109:D1115" si="255">E1109+F1109+G1109+H1109+I1109+J1109+L1109+N1109+P1109+R1109+T1109+U1109+V1109+W1109+X1109+Y1109+Z1109+AA1109+AB1109+AC1109+AD1109+AE1109</f>
        <v>1358190.18</v>
      </c>
      <c r="E1109" s="31">
        <v>0</v>
      </c>
      <c r="F1109" s="31">
        <v>0</v>
      </c>
      <c r="G1109" s="31">
        <v>0</v>
      </c>
      <c r="H1109" s="31">
        <v>0</v>
      </c>
      <c r="I1109" s="31">
        <v>0</v>
      </c>
      <c r="J1109" s="31">
        <v>0</v>
      </c>
      <c r="K1109" s="33">
        <v>0</v>
      </c>
      <c r="L1109" s="31">
        <v>0</v>
      </c>
      <c r="M1109" s="31">
        <v>260.10000000000002</v>
      </c>
      <c r="N1109" s="31">
        <v>1219891.8</v>
      </c>
      <c r="O1109" s="31">
        <v>0</v>
      </c>
      <c r="P1109" s="31">
        <v>0</v>
      </c>
      <c r="Q1109" s="31">
        <v>0</v>
      </c>
      <c r="R1109" s="31">
        <v>0</v>
      </c>
      <c r="S1109" s="31">
        <v>0</v>
      </c>
      <c r="T1109" s="31">
        <v>0</v>
      </c>
      <c r="U1109" s="31">
        <v>0</v>
      </c>
      <c r="V1109" s="31">
        <v>0</v>
      </c>
      <c r="W1109" s="31">
        <v>0</v>
      </c>
      <c r="X1109" s="31">
        <v>0</v>
      </c>
      <c r="Y1109" s="31">
        <v>0</v>
      </c>
      <c r="Z1109" s="31">
        <v>0</v>
      </c>
      <c r="AA1109" s="31">
        <v>0</v>
      </c>
      <c r="AB1109" s="31">
        <v>0</v>
      </c>
      <c r="AC1109" s="31">
        <f>ROUND(N1109*1.5%,2)</f>
        <v>18298.38</v>
      </c>
      <c r="AD1109" s="31">
        <v>120000</v>
      </c>
      <c r="AE1109" s="31">
        <v>0</v>
      </c>
      <c r="AF1109" s="34">
        <v>2022</v>
      </c>
      <c r="AG1109" s="34">
        <v>2022</v>
      </c>
      <c r="AH1109" s="35">
        <v>2022</v>
      </c>
      <c r="AT1109" s="20" t="e">
        <f t="shared" si="246"/>
        <v>#N/A</v>
      </c>
      <c r="BZ1109" s="71"/>
    </row>
    <row r="1110" spans="1:78" ht="61.5" x14ac:dyDescent="0.85">
      <c r="A1110" s="20">
        <v>1</v>
      </c>
      <c r="B1110" s="66">
        <f>SUBTOTAL(103,$A$963:A1110)</f>
        <v>134</v>
      </c>
      <c r="C1110" s="177" t="s">
        <v>684</v>
      </c>
      <c r="D1110" s="31">
        <f t="shared" si="255"/>
        <v>3973325</v>
      </c>
      <c r="E1110" s="31">
        <v>0</v>
      </c>
      <c r="F1110" s="31">
        <v>0</v>
      </c>
      <c r="G1110" s="31">
        <v>0</v>
      </c>
      <c r="H1110" s="31">
        <v>0</v>
      </c>
      <c r="I1110" s="31">
        <v>0</v>
      </c>
      <c r="J1110" s="31">
        <v>0</v>
      </c>
      <c r="K1110" s="33">
        <v>0</v>
      </c>
      <c r="L1110" s="31">
        <v>0</v>
      </c>
      <c r="M1110" s="31">
        <v>850</v>
      </c>
      <c r="N1110" s="31">
        <v>3766822.66</v>
      </c>
      <c r="O1110" s="31">
        <v>0</v>
      </c>
      <c r="P1110" s="31">
        <v>0</v>
      </c>
      <c r="Q1110" s="31">
        <v>0</v>
      </c>
      <c r="R1110" s="31">
        <v>0</v>
      </c>
      <c r="S1110" s="31">
        <v>0</v>
      </c>
      <c r="T1110" s="31">
        <v>0</v>
      </c>
      <c r="U1110" s="31">
        <v>0</v>
      </c>
      <c r="V1110" s="31">
        <v>0</v>
      </c>
      <c r="W1110" s="31">
        <v>0</v>
      </c>
      <c r="X1110" s="31">
        <v>0</v>
      </c>
      <c r="Y1110" s="31">
        <v>0</v>
      </c>
      <c r="Z1110" s="31">
        <v>0</v>
      </c>
      <c r="AA1110" s="31">
        <v>0</v>
      </c>
      <c r="AB1110" s="31">
        <v>0</v>
      </c>
      <c r="AC1110" s="31">
        <f>ROUND(N1110*1.5%,2)</f>
        <v>56502.34</v>
      </c>
      <c r="AD1110" s="31">
        <v>150000</v>
      </c>
      <c r="AE1110" s="31">
        <v>0</v>
      </c>
      <c r="AF1110" s="34">
        <v>2022</v>
      </c>
      <c r="AG1110" s="34">
        <v>2022</v>
      </c>
      <c r="AH1110" s="35">
        <v>2022</v>
      </c>
      <c r="AT1110" s="20" t="e">
        <f t="shared" si="246"/>
        <v>#N/A</v>
      </c>
      <c r="BZ1110" s="71"/>
    </row>
    <row r="1111" spans="1:78" ht="61.5" x14ac:dyDescent="0.85">
      <c r="A1111" s="20">
        <v>1</v>
      </c>
      <c r="B1111" s="66">
        <f>SUBTOTAL(103,$A$963:A1111)</f>
        <v>135</v>
      </c>
      <c r="C1111" s="177" t="s">
        <v>709</v>
      </c>
      <c r="D1111" s="31">
        <f t="shared" si="255"/>
        <v>2687908</v>
      </c>
      <c r="E1111" s="31">
        <v>0</v>
      </c>
      <c r="F1111" s="31">
        <v>0</v>
      </c>
      <c r="G1111" s="31">
        <v>0</v>
      </c>
      <c r="H1111" s="31">
        <v>0</v>
      </c>
      <c r="I1111" s="31">
        <v>0</v>
      </c>
      <c r="J1111" s="31">
        <v>0</v>
      </c>
      <c r="K1111" s="33">
        <v>0</v>
      </c>
      <c r="L1111" s="31">
        <v>0</v>
      </c>
      <c r="M1111" s="31">
        <v>550.5</v>
      </c>
      <c r="N1111" s="31">
        <v>2500401.9700000002</v>
      </c>
      <c r="O1111" s="31">
        <v>0</v>
      </c>
      <c r="P1111" s="31">
        <v>0</v>
      </c>
      <c r="Q1111" s="31">
        <v>0</v>
      </c>
      <c r="R1111" s="31">
        <v>0</v>
      </c>
      <c r="S1111" s="31">
        <v>0</v>
      </c>
      <c r="T1111" s="31">
        <v>0</v>
      </c>
      <c r="U1111" s="31">
        <v>0</v>
      </c>
      <c r="V1111" s="31">
        <v>0</v>
      </c>
      <c r="W1111" s="31">
        <v>0</v>
      </c>
      <c r="X1111" s="31">
        <v>0</v>
      </c>
      <c r="Y1111" s="31">
        <v>0</v>
      </c>
      <c r="Z1111" s="31">
        <v>0</v>
      </c>
      <c r="AA1111" s="31">
        <v>0</v>
      </c>
      <c r="AB1111" s="31">
        <v>0</v>
      </c>
      <c r="AC1111" s="31">
        <f>ROUND(N1111*1.5%,2)</f>
        <v>37506.03</v>
      </c>
      <c r="AD1111" s="31">
        <v>150000</v>
      </c>
      <c r="AE1111" s="31">
        <v>0</v>
      </c>
      <c r="AF1111" s="34">
        <v>2022</v>
      </c>
      <c r="AG1111" s="34">
        <v>2022</v>
      </c>
      <c r="AH1111" s="35">
        <v>2022</v>
      </c>
      <c r="AT1111" s="20" t="e">
        <f t="shared" si="246"/>
        <v>#N/A</v>
      </c>
      <c r="BZ1111" s="71"/>
    </row>
    <row r="1112" spans="1:78" ht="61.5" x14ac:dyDescent="0.85">
      <c r="A1112" s="20">
        <v>1</v>
      </c>
      <c r="B1112" s="66">
        <f>SUBTOTAL(103,$A$963:A1112)</f>
        <v>136</v>
      </c>
      <c r="C1112" s="177" t="s">
        <v>693</v>
      </c>
      <c r="D1112" s="31">
        <f t="shared" si="255"/>
        <v>3058347.5</v>
      </c>
      <c r="E1112" s="31">
        <v>0</v>
      </c>
      <c r="F1112" s="31">
        <v>0</v>
      </c>
      <c r="G1112" s="31">
        <v>0</v>
      </c>
      <c r="H1112" s="31">
        <v>0</v>
      </c>
      <c r="I1112" s="31">
        <v>0</v>
      </c>
      <c r="J1112" s="31">
        <v>0</v>
      </c>
      <c r="K1112" s="33">
        <v>0</v>
      </c>
      <c r="L1112" s="31">
        <v>0</v>
      </c>
      <c r="M1112" s="31">
        <v>0</v>
      </c>
      <c r="N1112" s="31">
        <v>0</v>
      </c>
      <c r="O1112" s="31">
        <v>0</v>
      </c>
      <c r="P1112" s="31">
        <v>0</v>
      </c>
      <c r="Q1112" s="31">
        <v>585.5</v>
      </c>
      <c r="R1112" s="31">
        <f>2885071.43-118226.6</f>
        <v>2766844.83</v>
      </c>
      <c r="S1112" s="31">
        <v>0</v>
      </c>
      <c r="T1112" s="31">
        <v>0</v>
      </c>
      <c r="U1112" s="31">
        <v>0</v>
      </c>
      <c r="V1112" s="31">
        <v>0</v>
      </c>
      <c r="W1112" s="31">
        <v>0</v>
      </c>
      <c r="X1112" s="31">
        <v>0</v>
      </c>
      <c r="Y1112" s="31">
        <v>0</v>
      </c>
      <c r="Z1112" s="31">
        <v>0</v>
      </c>
      <c r="AA1112" s="31">
        <v>0</v>
      </c>
      <c r="AB1112" s="31">
        <v>0</v>
      </c>
      <c r="AC1112" s="31">
        <f>ROUND(R1112*1.5%,2)</f>
        <v>41502.67</v>
      </c>
      <c r="AD1112" s="31">
        <v>130000</v>
      </c>
      <c r="AE1112" s="31">
        <v>120000</v>
      </c>
      <c r="AF1112" s="34">
        <v>2022</v>
      </c>
      <c r="AG1112" s="34">
        <v>2022</v>
      </c>
      <c r="AH1112" s="35">
        <v>2022</v>
      </c>
      <c r="AT1112" s="20" t="e">
        <f t="shared" si="246"/>
        <v>#N/A</v>
      </c>
      <c r="BZ1112" s="71"/>
    </row>
    <row r="1113" spans="1:78" ht="61.5" x14ac:dyDescent="0.85">
      <c r="A1113" s="20">
        <v>1</v>
      </c>
      <c r="B1113" s="66">
        <f>SUBTOTAL(103,$A$963:A1113)</f>
        <v>137</v>
      </c>
      <c r="C1113" s="177" t="s">
        <v>692</v>
      </c>
      <c r="D1113" s="31">
        <f t="shared" si="255"/>
        <v>5240868.3999999994</v>
      </c>
      <c r="E1113" s="31">
        <v>0</v>
      </c>
      <c r="F1113" s="31">
        <v>0</v>
      </c>
      <c r="G1113" s="31">
        <v>0</v>
      </c>
      <c r="H1113" s="31">
        <v>0</v>
      </c>
      <c r="I1113" s="31">
        <v>0</v>
      </c>
      <c r="J1113" s="31">
        <v>0</v>
      </c>
      <c r="K1113" s="33">
        <v>0</v>
      </c>
      <c r="L1113" s="31">
        <v>0</v>
      </c>
      <c r="M1113" s="31">
        <v>950</v>
      </c>
      <c r="N1113" s="31">
        <v>5015633.8899999997</v>
      </c>
      <c r="O1113" s="31">
        <v>0</v>
      </c>
      <c r="P1113" s="31">
        <v>0</v>
      </c>
      <c r="Q1113" s="31">
        <v>0</v>
      </c>
      <c r="R1113" s="31">
        <v>0</v>
      </c>
      <c r="S1113" s="31">
        <v>0</v>
      </c>
      <c r="T1113" s="31">
        <v>0</v>
      </c>
      <c r="U1113" s="31">
        <v>0</v>
      </c>
      <c r="V1113" s="31">
        <v>0</v>
      </c>
      <c r="W1113" s="31">
        <v>0</v>
      </c>
      <c r="X1113" s="31">
        <v>0</v>
      </c>
      <c r="Y1113" s="31">
        <v>0</v>
      </c>
      <c r="Z1113" s="31">
        <v>0</v>
      </c>
      <c r="AA1113" s="31">
        <v>0</v>
      </c>
      <c r="AB1113" s="31">
        <v>0</v>
      </c>
      <c r="AC1113" s="31">
        <f>ROUND(N1113*1.5%,2)</f>
        <v>75234.509999999995</v>
      </c>
      <c r="AD1113" s="31">
        <v>150000</v>
      </c>
      <c r="AE1113" s="31">
        <v>0</v>
      </c>
      <c r="AF1113" s="34">
        <v>2022</v>
      </c>
      <c r="AG1113" s="34">
        <v>2022</v>
      </c>
      <c r="AH1113" s="35">
        <v>2022</v>
      </c>
      <c r="AT1113" s="20">
        <f t="shared" si="246"/>
        <v>1</v>
      </c>
      <c r="BZ1113" s="71"/>
    </row>
    <row r="1114" spans="1:78" ht="61.5" x14ac:dyDescent="0.85">
      <c r="A1114" s="20">
        <v>1</v>
      </c>
      <c r="B1114" s="66">
        <f>SUBTOTAL(103,$A$963:A1114)</f>
        <v>138</v>
      </c>
      <c r="C1114" s="177" t="s">
        <v>678</v>
      </c>
      <c r="D1114" s="31">
        <f t="shared" si="255"/>
        <v>2526766.84</v>
      </c>
      <c r="E1114" s="31">
        <v>0</v>
      </c>
      <c r="F1114" s="31">
        <v>0</v>
      </c>
      <c r="G1114" s="31">
        <v>0</v>
      </c>
      <c r="H1114" s="31">
        <v>0</v>
      </c>
      <c r="I1114" s="31">
        <v>0</v>
      </c>
      <c r="J1114" s="31">
        <v>0</v>
      </c>
      <c r="K1114" s="33">
        <v>0</v>
      </c>
      <c r="L1114" s="31">
        <v>0</v>
      </c>
      <c r="M1114" s="31">
        <v>550</v>
      </c>
      <c r="N1114" s="31">
        <v>2341642.21</v>
      </c>
      <c r="O1114" s="31">
        <v>0</v>
      </c>
      <c r="P1114" s="31">
        <v>0</v>
      </c>
      <c r="Q1114" s="31">
        <v>0</v>
      </c>
      <c r="R1114" s="31">
        <v>0</v>
      </c>
      <c r="S1114" s="31">
        <v>0</v>
      </c>
      <c r="T1114" s="31">
        <v>0</v>
      </c>
      <c r="U1114" s="31">
        <v>0</v>
      </c>
      <c r="V1114" s="31">
        <v>0</v>
      </c>
      <c r="W1114" s="31">
        <v>0</v>
      </c>
      <c r="X1114" s="31">
        <v>0</v>
      </c>
      <c r="Y1114" s="31">
        <v>0</v>
      </c>
      <c r="Z1114" s="31">
        <v>0</v>
      </c>
      <c r="AA1114" s="31">
        <v>0</v>
      </c>
      <c r="AB1114" s="31">
        <v>0</v>
      </c>
      <c r="AC1114" s="31">
        <f>ROUND(N1114*1.5%,2)</f>
        <v>35124.629999999997</v>
      </c>
      <c r="AD1114" s="31">
        <v>150000</v>
      </c>
      <c r="AE1114" s="31">
        <v>0</v>
      </c>
      <c r="AF1114" s="34">
        <v>2022</v>
      </c>
      <c r="AG1114" s="34">
        <v>2022</v>
      </c>
      <c r="AH1114" s="35">
        <v>2022</v>
      </c>
      <c r="AT1114" s="20" t="e">
        <f t="shared" si="246"/>
        <v>#N/A</v>
      </c>
      <c r="BZ1114" s="71"/>
    </row>
    <row r="1115" spans="1:78" ht="61.5" x14ac:dyDescent="0.85">
      <c r="A1115" s="20">
        <v>1</v>
      </c>
      <c r="B1115" s="66">
        <f>SUBTOTAL(103,$A$963:A1115)</f>
        <v>139</v>
      </c>
      <c r="C1115" s="177" t="s">
        <v>679</v>
      </c>
      <c r="D1115" s="31">
        <f t="shared" si="255"/>
        <v>4496606</v>
      </c>
      <c r="E1115" s="31">
        <v>0</v>
      </c>
      <c r="F1115" s="31">
        <v>0</v>
      </c>
      <c r="G1115" s="31">
        <v>0</v>
      </c>
      <c r="H1115" s="31">
        <v>0</v>
      </c>
      <c r="I1115" s="31">
        <v>0</v>
      </c>
      <c r="J1115" s="31">
        <v>0</v>
      </c>
      <c r="K1115" s="33">
        <v>2</v>
      </c>
      <c r="L1115" s="31">
        <v>4396606</v>
      </c>
      <c r="M1115" s="31">
        <v>0</v>
      </c>
      <c r="N1115" s="31">
        <v>0</v>
      </c>
      <c r="O1115" s="31">
        <v>0</v>
      </c>
      <c r="P1115" s="31">
        <v>0</v>
      </c>
      <c r="Q1115" s="31">
        <v>0</v>
      </c>
      <c r="R1115" s="31">
        <v>0</v>
      </c>
      <c r="S1115" s="31">
        <v>0</v>
      </c>
      <c r="T1115" s="31">
        <v>0</v>
      </c>
      <c r="U1115" s="31">
        <v>0</v>
      </c>
      <c r="V1115" s="31">
        <v>0</v>
      </c>
      <c r="W1115" s="31">
        <v>0</v>
      </c>
      <c r="X1115" s="31">
        <v>0</v>
      </c>
      <c r="Y1115" s="31">
        <v>0</v>
      </c>
      <c r="Z1115" s="31">
        <v>0</v>
      </c>
      <c r="AA1115" s="31">
        <v>0</v>
      </c>
      <c r="AB1115" s="31">
        <v>0</v>
      </c>
      <c r="AC1115" s="31">
        <v>0</v>
      </c>
      <c r="AD1115" s="31">
        <v>100000</v>
      </c>
      <c r="AE1115" s="31">
        <v>0</v>
      </c>
      <c r="AF1115" s="34">
        <v>2022</v>
      </c>
      <c r="AG1115" s="34">
        <v>2022</v>
      </c>
      <c r="AH1115" s="35" t="s">
        <v>274</v>
      </c>
      <c r="AT1115" s="20" t="e">
        <f t="shared" si="246"/>
        <v>#N/A</v>
      </c>
      <c r="BZ1115" s="71"/>
    </row>
    <row r="1116" spans="1:78" ht="61.5" x14ac:dyDescent="0.85">
      <c r="B1116" s="24" t="s">
        <v>849</v>
      </c>
      <c r="C1116" s="129"/>
      <c r="D1116" s="31">
        <f>D1117+D1118</f>
        <v>12591900</v>
      </c>
      <c r="E1116" s="31">
        <f t="shared" ref="E1116:AE1116" si="256">E1117+E1118</f>
        <v>0</v>
      </c>
      <c r="F1116" s="31">
        <f t="shared" si="256"/>
        <v>0</v>
      </c>
      <c r="G1116" s="31">
        <f t="shared" si="256"/>
        <v>0</v>
      </c>
      <c r="H1116" s="31">
        <f t="shared" si="256"/>
        <v>0</v>
      </c>
      <c r="I1116" s="31">
        <f t="shared" si="256"/>
        <v>0</v>
      </c>
      <c r="J1116" s="31">
        <f t="shared" si="256"/>
        <v>0</v>
      </c>
      <c r="K1116" s="33">
        <f t="shared" si="256"/>
        <v>0</v>
      </c>
      <c r="L1116" s="31">
        <f t="shared" si="256"/>
        <v>0</v>
      </c>
      <c r="M1116" s="31">
        <f t="shared" si="256"/>
        <v>2469</v>
      </c>
      <c r="N1116" s="31">
        <f t="shared" si="256"/>
        <v>12080689.66</v>
      </c>
      <c r="O1116" s="31">
        <f t="shared" si="256"/>
        <v>0</v>
      </c>
      <c r="P1116" s="31">
        <f t="shared" si="256"/>
        <v>0</v>
      </c>
      <c r="Q1116" s="31">
        <f t="shared" si="256"/>
        <v>0</v>
      </c>
      <c r="R1116" s="31">
        <f t="shared" si="256"/>
        <v>0</v>
      </c>
      <c r="S1116" s="31">
        <f t="shared" si="256"/>
        <v>0</v>
      </c>
      <c r="T1116" s="31">
        <f t="shared" si="256"/>
        <v>0</v>
      </c>
      <c r="U1116" s="31">
        <f t="shared" si="256"/>
        <v>0</v>
      </c>
      <c r="V1116" s="31">
        <f t="shared" si="256"/>
        <v>0</v>
      </c>
      <c r="W1116" s="31">
        <f t="shared" si="256"/>
        <v>0</v>
      </c>
      <c r="X1116" s="31">
        <f t="shared" si="256"/>
        <v>0</v>
      </c>
      <c r="Y1116" s="31">
        <f t="shared" si="256"/>
        <v>0</v>
      </c>
      <c r="Z1116" s="31">
        <f t="shared" si="256"/>
        <v>0</v>
      </c>
      <c r="AA1116" s="31">
        <f t="shared" si="256"/>
        <v>0</v>
      </c>
      <c r="AB1116" s="31">
        <f t="shared" si="256"/>
        <v>0</v>
      </c>
      <c r="AC1116" s="31">
        <f t="shared" si="256"/>
        <v>181210.34</v>
      </c>
      <c r="AD1116" s="31">
        <f t="shared" si="256"/>
        <v>330000</v>
      </c>
      <c r="AE1116" s="31">
        <f t="shared" si="256"/>
        <v>0</v>
      </c>
      <c r="AF1116" s="72" t="s">
        <v>776</v>
      </c>
      <c r="AG1116" s="72" t="s">
        <v>776</v>
      </c>
      <c r="AH1116" s="88" t="s">
        <v>776</v>
      </c>
      <c r="AT1116" s="20" t="e">
        <f t="shared" si="246"/>
        <v>#N/A</v>
      </c>
      <c r="BZ1116" s="71">
        <v>12591900</v>
      </c>
    </row>
    <row r="1117" spans="1:78" ht="61.5" x14ac:dyDescent="0.85">
      <c r="A1117" s="20">
        <v>1</v>
      </c>
      <c r="B1117" s="66">
        <f>SUBTOTAL(103,$A$963:A1117)</f>
        <v>140</v>
      </c>
      <c r="C1117" s="177" t="s">
        <v>239</v>
      </c>
      <c r="D1117" s="31">
        <f>E1117+F1117+G1117+H1117+I1117+J1117+L1117+N1117+P1117+R1117+T1117+U1117+V1117+W1117+X1117+Y1117+Z1117+AA1117+AB1117+AC1117+AD1117+AE1117</f>
        <v>4620600</v>
      </c>
      <c r="E1117" s="31">
        <v>0</v>
      </c>
      <c r="F1117" s="31">
        <v>0</v>
      </c>
      <c r="G1117" s="31">
        <v>0</v>
      </c>
      <c r="H1117" s="31">
        <v>0</v>
      </c>
      <c r="I1117" s="31">
        <v>0</v>
      </c>
      <c r="J1117" s="31">
        <v>0</v>
      </c>
      <c r="K1117" s="33">
        <v>0</v>
      </c>
      <c r="L1117" s="31">
        <v>0</v>
      </c>
      <c r="M1117" s="31">
        <v>906</v>
      </c>
      <c r="N1117" s="31">
        <v>4404532.0199999996</v>
      </c>
      <c r="O1117" s="31">
        <v>0</v>
      </c>
      <c r="P1117" s="31">
        <v>0</v>
      </c>
      <c r="Q1117" s="31">
        <v>0</v>
      </c>
      <c r="R1117" s="31">
        <v>0</v>
      </c>
      <c r="S1117" s="31">
        <v>0</v>
      </c>
      <c r="T1117" s="31">
        <v>0</v>
      </c>
      <c r="U1117" s="31">
        <v>0</v>
      </c>
      <c r="V1117" s="31">
        <v>0</v>
      </c>
      <c r="W1117" s="31">
        <v>0</v>
      </c>
      <c r="X1117" s="31">
        <v>0</v>
      </c>
      <c r="Y1117" s="31">
        <v>0</v>
      </c>
      <c r="Z1117" s="31">
        <v>0</v>
      </c>
      <c r="AA1117" s="31">
        <v>0</v>
      </c>
      <c r="AB1117" s="31">
        <v>0</v>
      </c>
      <c r="AC1117" s="31">
        <f>ROUND(N1117*1.5%,2)</f>
        <v>66067.98</v>
      </c>
      <c r="AD1117" s="31">
        <v>150000</v>
      </c>
      <c r="AE1117" s="31">
        <v>0</v>
      </c>
      <c r="AF1117" s="34">
        <v>2022</v>
      </c>
      <c r="AG1117" s="34">
        <v>2022</v>
      </c>
      <c r="AH1117" s="35">
        <v>2022</v>
      </c>
      <c r="AT1117" s="20" t="e">
        <f t="shared" si="246"/>
        <v>#N/A</v>
      </c>
      <c r="BZ1117" s="71"/>
    </row>
    <row r="1118" spans="1:78" ht="61.5" x14ac:dyDescent="0.85">
      <c r="A1118" s="20">
        <v>1</v>
      </c>
      <c r="B1118" s="66">
        <f>SUBTOTAL(103,$A$963:A1118)</f>
        <v>141</v>
      </c>
      <c r="C1118" s="177" t="s">
        <v>243</v>
      </c>
      <c r="D1118" s="31">
        <f>E1118+F1118+G1118+H1118+I1118+J1118+L1118+N1118+P1118+R1118+T1118+U1118+V1118+W1118+X1118+Y1118+Z1118+AA1118+AB1118+AC1118+AD1118+AE1118</f>
        <v>7971300</v>
      </c>
      <c r="E1118" s="31">
        <v>0</v>
      </c>
      <c r="F1118" s="31">
        <v>0</v>
      </c>
      <c r="G1118" s="31">
        <v>0</v>
      </c>
      <c r="H1118" s="31">
        <v>0</v>
      </c>
      <c r="I1118" s="31">
        <v>0</v>
      </c>
      <c r="J1118" s="31">
        <v>0</v>
      </c>
      <c r="K1118" s="33">
        <v>0</v>
      </c>
      <c r="L1118" s="31">
        <v>0</v>
      </c>
      <c r="M1118" s="31">
        <v>1563</v>
      </c>
      <c r="N1118" s="31">
        <v>7676157.6399999997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0</v>
      </c>
      <c r="U1118" s="31">
        <v>0</v>
      </c>
      <c r="V1118" s="31">
        <v>0</v>
      </c>
      <c r="W1118" s="31">
        <v>0</v>
      </c>
      <c r="X1118" s="31">
        <v>0</v>
      </c>
      <c r="Y1118" s="31">
        <v>0</v>
      </c>
      <c r="Z1118" s="31">
        <v>0</v>
      </c>
      <c r="AA1118" s="31">
        <v>0</v>
      </c>
      <c r="AB1118" s="31">
        <v>0</v>
      </c>
      <c r="AC1118" s="31">
        <f>ROUND(N1118*1.5%,2)</f>
        <v>115142.36</v>
      </c>
      <c r="AD1118" s="31">
        <v>180000</v>
      </c>
      <c r="AE1118" s="31">
        <v>0</v>
      </c>
      <c r="AF1118" s="34">
        <v>2022</v>
      </c>
      <c r="AG1118" s="34">
        <v>2022</v>
      </c>
      <c r="AH1118" s="35">
        <v>2022</v>
      </c>
      <c r="AT1118" s="20" t="e">
        <f t="shared" si="246"/>
        <v>#N/A</v>
      </c>
      <c r="BZ1118" s="71"/>
    </row>
    <row r="1119" spans="1:78" ht="61.5" x14ac:dyDescent="0.85">
      <c r="B1119" s="24" t="s">
        <v>850</v>
      </c>
      <c r="C1119" s="24"/>
      <c r="D1119" s="31">
        <f>D1120</f>
        <v>1724820</v>
      </c>
      <c r="E1119" s="31">
        <f t="shared" ref="E1119:AE1119" si="257">E1120</f>
        <v>0</v>
      </c>
      <c r="F1119" s="31">
        <f t="shared" si="257"/>
        <v>0</v>
      </c>
      <c r="G1119" s="31">
        <f t="shared" si="257"/>
        <v>0</v>
      </c>
      <c r="H1119" s="31">
        <f t="shared" si="257"/>
        <v>0</v>
      </c>
      <c r="I1119" s="31">
        <f t="shared" si="257"/>
        <v>0</v>
      </c>
      <c r="J1119" s="31">
        <f t="shared" si="257"/>
        <v>0</v>
      </c>
      <c r="K1119" s="33">
        <f t="shared" si="257"/>
        <v>0</v>
      </c>
      <c r="L1119" s="31">
        <f t="shared" si="257"/>
        <v>0</v>
      </c>
      <c r="M1119" s="31">
        <f t="shared" si="257"/>
        <v>338.2</v>
      </c>
      <c r="N1119" s="31">
        <f t="shared" si="257"/>
        <v>1581103.45</v>
      </c>
      <c r="O1119" s="31">
        <f t="shared" si="257"/>
        <v>0</v>
      </c>
      <c r="P1119" s="31">
        <f t="shared" si="257"/>
        <v>0</v>
      </c>
      <c r="Q1119" s="31">
        <f t="shared" si="257"/>
        <v>0</v>
      </c>
      <c r="R1119" s="31">
        <f t="shared" si="257"/>
        <v>0</v>
      </c>
      <c r="S1119" s="31">
        <f t="shared" si="257"/>
        <v>0</v>
      </c>
      <c r="T1119" s="31">
        <f t="shared" si="257"/>
        <v>0</v>
      </c>
      <c r="U1119" s="31">
        <f t="shared" si="257"/>
        <v>0</v>
      </c>
      <c r="V1119" s="31">
        <f t="shared" si="257"/>
        <v>0</v>
      </c>
      <c r="W1119" s="31">
        <f t="shared" si="257"/>
        <v>0</v>
      </c>
      <c r="X1119" s="31">
        <f t="shared" si="257"/>
        <v>0</v>
      </c>
      <c r="Y1119" s="31">
        <f t="shared" si="257"/>
        <v>0</v>
      </c>
      <c r="Z1119" s="31">
        <f t="shared" si="257"/>
        <v>0</v>
      </c>
      <c r="AA1119" s="31">
        <f t="shared" si="257"/>
        <v>0</v>
      </c>
      <c r="AB1119" s="31">
        <f t="shared" si="257"/>
        <v>0</v>
      </c>
      <c r="AC1119" s="31">
        <f t="shared" si="257"/>
        <v>23716.55</v>
      </c>
      <c r="AD1119" s="31">
        <f t="shared" si="257"/>
        <v>120000</v>
      </c>
      <c r="AE1119" s="31">
        <f t="shared" si="257"/>
        <v>0</v>
      </c>
      <c r="AF1119" s="72" t="s">
        <v>776</v>
      </c>
      <c r="AG1119" s="72" t="s">
        <v>776</v>
      </c>
      <c r="AH1119" s="88" t="s">
        <v>776</v>
      </c>
      <c r="AT1119" s="20" t="e">
        <f t="shared" si="246"/>
        <v>#N/A</v>
      </c>
      <c r="BZ1119" s="71">
        <v>1724820</v>
      </c>
    </row>
    <row r="1120" spans="1:78" ht="61.5" x14ac:dyDescent="0.85">
      <c r="A1120" s="20">
        <v>1</v>
      </c>
      <c r="B1120" s="66">
        <f>SUBTOTAL(103,$A$963:A1120)</f>
        <v>142</v>
      </c>
      <c r="C1120" s="177" t="s">
        <v>248</v>
      </c>
      <c r="D1120" s="31">
        <f>E1120+F1120+G1120+H1120+I1120+J1120+L1120+N1120+P1120+R1120+T1120+U1120+V1120+W1120+X1120+Y1120+Z1120+AA1120+AB1120+AC1120+AD1120+AE1120</f>
        <v>1724820</v>
      </c>
      <c r="E1120" s="31">
        <v>0</v>
      </c>
      <c r="F1120" s="31">
        <v>0</v>
      </c>
      <c r="G1120" s="31">
        <v>0</v>
      </c>
      <c r="H1120" s="31">
        <v>0</v>
      </c>
      <c r="I1120" s="31">
        <v>0</v>
      </c>
      <c r="J1120" s="31">
        <v>0</v>
      </c>
      <c r="K1120" s="33">
        <v>0</v>
      </c>
      <c r="L1120" s="31">
        <v>0</v>
      </c>
      <c r="M1120" s="31">
        <v>338.2</v>
      </c>
      <c r="N1120" s="31">
        <v>1581103.45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  <c r="V1120" s="31">
        <v>0</v>
      </c>
      <c r="W1120" s="31">
        <v>0</v>
      </c>
      <c r="X1120" s="31">
        <v>0</v>
      </c>
      <c r="Y1120" s="31">
        <v>0</v>
      </c>
      <c r="Z1120" s="31">
        <v>0</v>
      </c>
      <c r="AA1120" s="31">
        <v>0</v>
      </c>
      <c r="AB1120" s="31">
        <v>0</v>
      </c>
      <c r="AC1120" s="31">
        <f>ROUND(N1120*1.5%,2)</f>
        <v>23716.55</v>
      </c>
      <c r="AD1120" s="31">
        <v>120000</v>
      </c>
      <c r="AE1120" s="31">
        <v>0</v>
      </c>
      <c r="AF1120" s="34">
        <v>2022</v>
      </c>
      <c r="AG1120" s="34">
        <v>2022</v>
      </c>
      <c r="AH1120" s="35">
        <v>2022</v>
      </c>
      <c r="AT1120" s="20" t="e">
        <f t="shared" si="246"/>
        <v>#N/A</v>
      </c>
      <c r="BZ1120" s="71"/>
    </row>
    <row r="1121" spans="1:78" ht="61.5" x14ac:dyDescent="0.85">
      <c r="B1121" s="24" t="s">
        <v>851</v>
      </c>
      <c r="C1121" s="24"/>
      <c r="D1121" s="31">
        <f>D1122</f>
        <v>1739107.3499999999</v>
      </c>
      <c r="E1121" s="31">
        <f t="shared" ref="E1121:AE1121" si="258">E1122</f>
        <v>0</v>
      </c>
      <c r="F1121" s="31">
        <f t="shared" si="258"/>
        <v>0</v>
      </c>
      <c r="G1121" s="31">
        <f t="shared" si="258"/>
        <v>0</v>
      </c>
      <c r="H1121" s="31">
        <f t="shared" si="258"/>
        <v>0</v>
      </c>
      <c r="I1121" s="31">
        <f t="shared" si="258"/>
        <v>0</v>
      </c>
      <c r="J1121" s="31">
        <f t="shared" si="258"/>
        <v>0</v>
      </c>
      <c r="K1121" s="33">
        <f t="shared" si="258"/>
        <v>0</v>
      </c>
      <c r="L1121" s="31">
        <f t="shared" si="258"/>
        <v>0</v>
      </c>
      <c r="M1121" s="31">
        <f t="shared" si="258"/>
        <v>0</v>
      </c>
      <c r="N1121" s="31">
        <f t="shared" si="258"/>
        <v>0</v>
      </c>
      <c r="O1121" s="31">
        <f t="shared" si="258"/>
        <v>0</v>
      </c>
      <c r="P1121" s="31">
        <f t="shared" si="258"/>
        <v>0</v>
      </c>
      <c r="Q1121" s="31">
        <f t="shared" si="258"/>
        <v>568.70000000000005</v>
      </c>
      <c r="R1121" s="31">
        <f t="shared" si="258"/>
        <v>1585327.44</v>
      </c>
      <c r="S1121" s="31">
        <f t="shared" si="258"/>
        <v>0</v>
      </c>
      <c r="T1121" s="31">
        <f t="shared" si="258"/>
        <v>0</v>
      </c>
      <c r="U1121" s="31">
        <f t="shared" si="258"/>
        <v>0</v>
      </c>
      <c r="V1121" s="31">
        <f t="shared" si="258"/>
        <v>0</v>
      </c>
      <c r="W1121" s="31">
        <f t="shared" si="258"/>
        <v>0</v>
      </c>
      <c r="X1121" s="31">
        <f t="shared" si="258"/>
        <v>0</v>
      </c>
      <c r="Y1121" s="31">
        <f t="shared" si="258"/>
        <v>0</v>
      </c>
      <c r="Z1121" s="31">
        <f t="shared" si="258"/>
        <v>0</v>
      </c>
      <c r="AA1121" s="31">
        <f t="shared" si="258"/>
        <v>0</v>
      </c>
      <c r="AB1121" s="31">
        <f t="shared" si="258"/>
        <v>0</v>
      </c>
      <c r="AC1121" s="31">
        <f t="shared" si="258"/>
        <v>23779.91</v>
      </c>
      <c r="AD1121" s="31">
        <f t="shared" si="258"/>
        <v>130000</v>
      </c>
      <c r="AE1121" s="31">
        <f t="shared" si="258"/>
        <v>0</v>
      </c>
      <c r="AF1121" s="72" t="s">
        <v>776</v>
      </c>
      <c r="AG1121" s="72" t="s">
        <v>776</v>
      </c>
      <c r="AH1121" s="88" t="s">
        <v>776</v>
      </c>
      <c r="AT1121" s="20" t="e">
        <f t="shared" si="246"/>
        <v>#N/A</v>
      </c>
      <c r="BZ1121" s="71">
        <v>1739107.3499999999</v>
      </c>
    </row>
    <row r="1122" spans="1:78" ht="61.5" x14ac:dyDescent="0.85">
      <c r="A1122" s="20">
        <v>1</v>
      </c>
      <c r="B1122" s="66">
        <f>SUBTOTAL(103,$A$963:A1122)</f>
        <v>143</v>
      </c>
      <c r="C1122" s="177" t="s">
        <v>250</v>
      </c>
      <c r="D1122" s="31">
        <f>E1122+F1122+G1122+H1122+I1122+J1122+L1122+N1122+P1122+R1122+T1122+U1122+V1122+W1122+X1122+Y1122+Z1122+AA1122+AB1122+AC1122+AD1122+AE1122</f>
        <v>1739107.3499999999</v>
      </c>
      <c r="E1122" s="31">
        <v>0</v>
      </c>
      <c r="F1122" s="31">
        <v>0</v>
      </c>
      <c r="G1122" s="31">
        <v>0</v>
      </c>
      <c r="H1122" s="31">
        <v>0</v>
      </c>
      <c r="I1122" s="31">
        <v>0</v>
      </c>
      <c r="J1122" s="31">
        <v>0</v>
      </c>
      <c r="K1122" s="33">
        <v>0</v>
      </c>
      <c r="L1122" s="31">
        <v>0</v>
      </c>
      <c r="M1122" s="31">
        <v>0</v>
      </c>
      <c r="N1122" s="31">
        <v>0</v>
      </c>
      <c r="O1122" s="31">
        <v>0</v>
      </c>
      <c r="P1122" s="31">
        <v>0</v>
      </c>
      <c r="Q1122" s="31">
        <v>568.70000000000005</v>
      </c>
      <c r="R1122" s="31">
        <v>1585327.44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1">
        <v>0</v>
      </c>
      <c r="Y1122" s="31">
        <v>0</v>
      </c>
      <c r="Z1122" s="31">
        <v>0</v>
      </c>
      <c r="AA1122" s="31">
        <v>0</v>
      </c>
      <c r="AB1122" s="31">
        <v>0</v>
      </c>
      <c r="AC1122" s="31">
        <f>ROUND(R1122*1.5%,2)</f>
        <v>23779.91</v>
      </c>
      <c r="AD1122" s="31">
        <v>130000</v>
      </c>
      <c r="AE1122" s="31">
        <v>0</v>
      </c>
      <c r="AF1122" s="34">
        <v>2022</v>
      </c>
      <c r="AG1122" s="34">
        <v>2022</v>
      </c>
      <c r="AH1122" s="35">
        <v>2022</v>
      </c>
      <c r="AT1122" s="20" t="e">
        <f t="shared" ref="AT1122:AT1142" si="259">VLOOKUP(C1122,AW:AX,2,FALSE)</f>
        <v>#N/A</v>
      </c>
      <c r="BZ1122" s="71"/>
    </row>
    <row r="1123" spans="1:78" ht="61.5" x14ac:dyDescent="0.85">
      <c r="B1123" s="24" t="s">
        <v>910</v>
      </c>
      <c r="C1123" s="208"/>
      <c r="D1123" s="31">
        <f>D1124</f>
        <v>3373804.98</v>
      </c>
      <c r="E1123" s="31">
        <f t="shared" ref="E1123:AE1123" si="260">E1124</f>
        <v>0</v>
      </c>
      <c r="F1123" s="31">
        <f t="shared" si="260"/>
        <v>0</v>
      </c>
      <c r="G1123" s="31">
        <f t="shared" si="260"/>
        <v>0</v>
      </c>
      <c r="H1123" s="31">
        <f t="shared" si="260"/>
        <v>0</v>
      </c>
      <c r="I1123" s="31">
        <f t="shared" si="260"/>
        <v>0</v>
      </c>
      <c r="J1123" s="31">
        <f t="shared" si="260"/>
        <v>0</v>
      </c>
      <c r="K1123" s="33">
        <f t="shared" si="260"/>
        <v>0</v>
      </c>
      <c r="L1123" s="31">
        <f t="shared" si="260"/>
        <v>0</v>
      </c>
      <c r="M1123" s="31">
        <f t="shared" si="260"/>
        <v>646.1</v>
      </c>
      <c r="N1123" s="31">
        <f t="shared" si="260"/>
        <v>3176162.54</v>
      </c>
      <c r="O1123" s="31">
        <f t="shared" si="260"/>
        <v>0</v>
      </c>
      <c r="P1123" s="31">
        <f t="shared" si="260"/>
        <v>0</v>
      </c>
      <c r="Q1123" s="31">
        <f t="shared" si="260"/>
        <v>0</v>
      </c>
      <c r="R1123" s="31">
        <f t="shared" si="260"/>
        <v>0</v>
      </c>
      <c r="S1123" s="31">
        <f t="shared" si="260"/>
        <v>0</v>
      </c>
      <c r="T1123" s="31">
        <f t="shared" si="260"/>
        <v>0</v>
      </c>
      <c r="U1123" s="31">
        <f t="shared" si="260"/>
        <v>0</v>
      </c>
      <c r="V1123" s="31">
        <f t="shared" si="260"/>
        <v>0</v>
      </c>
      <c r="W1123" s="31">
        <f t="shared" si="260"/>
        <v>0</v>
      </c>
      <c r="X1123" s="31">
        <f t="shared" si="260"/>
        <v>0</v>
      </c>
      <c r="Y1123" s="31">
        <f t="shared" si="260"/>
        <v>0</v>
      </c>
      <c r="Z1123" s="31">
        <f t="shared" si="260"/>
        <v>0</v>
      </c>
      <c r="AA1123" s="31">
        <f t="shared" si="260"/>
        <v>0</v>
      </c>
      <c r="AB1123" s="31">
        <f t="shared" si="260"/>
        <v>0</v>
      </c>
      <c r="AC1123" s="31">
        <f t="shared" si="260"/>
        <v>47642.44</v>
      </c>
      <c r="AD1123" s="31">
        <f t="shared" si="260"/>
        <v>150000</v>
      </c>
      <c r="AE1123" s="31">
        <f t="shared" si="260"/>
        <v>0</v>
      </c>
      <c r="AF1123" s="72" t="s">
        <v>776</v>
      </c>
      <c r="AG1123" s="72" t="s">
        <v>776</v>
      </c>
      <c r="AH1123" s="88" t="s">
        <v>776</v>
      </c>
      <c r="AT1123" s="20" t="e">
        <f t="shared" si="259"/>
        <v>#N/A</v>
      </c>
      <c r="BZ1123" s="71">
        <v>3373804.98</v>
      </c>
    </row>
    <row r="1124" spans="1:78" ht="61.5" x14ac:dyDescent="0.85">
      <c r="A1124" s="20">
        <v>1</v>
      </c>
      <c r="B1124" s="66">
        <f>SUBTOTAL(103,$A$963:A1124)</f>
        <v>144</v>
      </c>
      <c r="C1124" s="177" t="s">
        <v>4</v>
      </c>
      <c r="D1124" s="31">
        <f>E1124+F1124+G1124+H1124+I1124+J1124+L1124+N1124+P1124+R1124+T1124+U1124+V1124+W1124+X1124+Y1124+Z1124+AA1124+AB1124+AC1124+AD1124+AE1124</f>
        <v>3373804.98</v>
      </c>
      <c r="E1124" s="31">
        <v>0</v>
      </c>
      <c r="F1124" s="31">
        <v>0</v>
      </c>
      <c r="G1124" s="31">
        <v>0</v>
      </c>
      <c r="H1124" s="31">
        <v>0</v>
      </c>
      <c r="I1124" s="31">
        <v>0</v>
      </c>
      <c r="J1124" s="31">
        <v>0</v>
      </c>
      <c r="K1124" s="33">
        <v>0</v>
      </c>
      <c r="L1124" s="31">
        <v>0</v>
      </c>
      <c r="M1124" s="31">
        <v>646.1</v>
      </c>
      <c r="N1124" s="31">
        <v>3176162.54</v>
      </c>
      <c r="O1124" s="31">
        <v>0</v>
      </c>
      <c r="P1124" s="31">
        <v>0</v>
      </c>
      <c r="Q1124" s="31">
        <v>0</v>
      </c>
      <c r="R1124" s="31">
        <v>0</v>
      </c>
      <c r="S1124" s="31">
        <v>0</v>
      </c>
      <c r="T1124" s="31">
        <v>0</v>
      </c>
      <c r="U1124" s="31">
        <v>0</v>
      </c>
      <c r="V1124" s="31">
        <v>0</v>
      </c>
      <c r="W1124" s="31">
        <v>0</v>
      </c>
      <c r="X1124" s="31">
        <v>0</v>
      </c>
      <c r="Y1124" s="31">
        <v>0</v>
      </c>
      <c r="Z1124" s="31">
        <v>0</v>
      </c>
      <c r="AA1124" s="31">
        <v>0</v>
      </c>
      <c r="AB1124" s="31">
        <v>0</v>
      </c>
      <c r="AC1124" s="31">
        <f>ROUND(N1124*1.5%,2)</f>
        <v>47642.44</v>
      </c>
      <c r="AD1124" s="31">
        <v>150000</v>
      </c>
      <c r="AE1124" s="31">
        <v>0</v>
      </c>
      <c r="AF1124" s="34">
        <v>2022</v>
      </c>
      <c r="AG1124" s="34">
        <v>2022</v>
      </c>
      <c r="AH1124" s="35">
        <v>2022</v>
      </c>
      <c r="AT1124" s="20" t="e">
        <f t="shared" si="259"/>
        <v>#N/A</v>
      </c>
      <c r="BZ1124" s="71"/>
    </row>
    <row r="1125" spans="1:78" ht="61.5" x14ac:dyDescent="0.85">
      <c r="B1125" s="24" t="s">
        <v>911</v>
      </c>
      <c r="C1125" s="25"/>
      <c r="D1125" s="31">
        <f>SUM(D1126:D1127)</f>
        <v>3916350</v>
      </c>
      <c r="E1125" s="31">
        <f t="shared" ref="E1125:AE1125" si="261">SUM(E1126:E1127)</f>
        <v>0</v>
      </c>
      <c r="F1125" s="31">
        <f t="shared" si="261"/>
        <v>0</v>
      </c>
      <c r="G1125" s="31">
        <f t="shared" si="261"/>
        <v>0</v>
      </c>
      <c r="H1125" s="31">
        <f t="shared" si="261"/>
        <v>0</v>
      </c>
      <c r="I1125" s="31">
        <f t="shared" si="261"/>
        <v>0</v>
      </c>
      <c r="J1125" s="31">
        <f t="shared" si="261"/>
        <v>0</v>
      </c>
      <c r="K1125" s="33">
        <f t="shared" si="261"/>
        <v>0</v>
      </c>
      <c r="L1125" s="31">
        <f t="shared" si="261"/>
        <v>0</v>
      </c>
      <c r="M1125" s="31">
        <f t="shared" si="261"/>
        <v>897</v>
      </c>
      <c r="N1125" s="31">
        <f t="shared" si="261"/>
        <v>3562906.4</v>
      </c>
      <c r="O1125" s="31">
        <f t="shared" si="261"/>
        <v>0</v>
      </c>
      <c r="P1125" s="31">
        <f t="shared" si="261"/>
        <v>0</v>
      </c>
      <c r="Q1125" s="31">
        <f t="shared" si="261"/>
        <v>0</v>
      </c>
      <c r="R1125" s="31">
        <f t="shared" si="261"/>
        <v>0</v>
      </c>
      <c r="S1125" s="31">
        <f t="shared" si="261"/>
        <v>0</v>
      </c>
      <c r="T1125" s="31">
        <f t="shared" si="261"/>
        <v>0</v>
      </c>
      <c r="U1125" s="31">
        <f t="shared" si="261"/>
        <v>0</v>
      </c>
      <c r="V1125" s="31">
        <f t="shared" si="261"/>
        <v>0</v>
      </c>
      <c r="W1125" s="31">
        <f t="shared" si="261"/>
        <v>0</v>
      </c>
      <c r="X1125" s="31">
        <f t="shared" si="261"/>
        <v>0</v>
      </c>
      <c r="Y1125" s="31">
        <f t="shared" si="261"/>
        <v>0</v>
      </c>
      <c r="Z1125" s="31">
        <f t="shared" si="261"/>
        <v>0</v>
      </c>
      <c r="AA1125" s="31">
        <f t="shared" si="261"/>
        <v>0</v>
      </c>
      <c r="AB1125" s="31">
        <f t="shared" si="261"/>
        <v>0</v>
      </c>
      <c r="AC1125" s="31">
        <f t="shared" si="261"/>
        <v>53443.600000000006</v>
      </c>
      <c r="AD1125" s="31">
        <f t="shared" si="261"/>
        <v>300000</v>
      </c>
      <c r="AE1125" s="31">
        <f t="shared" si="261"/>
        <v>0</v>
      </c>
      <c r="AF1125" s="72" t="s">
        <v>776</v>
      </c>
      <c r="AG1125" s="72" t="s">
        <v>776</v>
      </c>
      <c r="AH1125" s="88" t="s">
        <v>776</v>
      </c>
      <c r="AT1125" s="20" t="e">
        <f t="shared" si="259"/>
        <v>#N/A</v>
      </c>
      <c r="BZ1125" s="71">
        <v>3916350</v>
      </c>
    </row>
    <row r="1126" spans="1:78" ht="61.5" x14ac:dyDescent="0.85">
      <c r="A1126" s="20">
        <v>1</v>
      </c>
      <c r="B1126" s="66">
        <f>SUBTOTAL(103,$A$963:A1126)</f>
        <v>145</v>
      </c>
      <c r="C1126" s="177" t="s">
        <v>1742</v>
      </c>
      <c r="D1126" s="31">
        <f>E1126+F1126+G1126+H1126+I1126+J1126+L1126+N1126+P1126+R1126+T1126+U1126+V1126+W1126+X1126+Y1126+Z1126+AA1126+AB1126+AC1126+AD1126+AE1126</f>
        <v>2035617.4</v>
      </c>
      <c r="E1126" s="31">
        <v>0</v>
      </c>
      <c r="F1126" s="31">
        <v>0</v>
      </c>
      <c r="G1126" s="31">
        <v>0</v>
      </c>
      <c r="H1126" s="31">
        <v>0</v>
      </c>
      <c r="I1126" s="31">
        <v>0</v>
      </c>
      <c r="J1126" s="31">
        <v>0</v>
      </c>
      <c r="K1126" s="33">
        <v>0</v>
      </c>
      <c r="L1126" s="31">
        <v>0</v>
      </c>
      <c r="M1126" s="31">
        <v>468</v>
      </c>
      <c r="N1126" s="31">
        <v>1857751.13</v>
      </c>
      <c r="O1126" s="31">
        <v>0</v>
      </c>
      <c r="P1126" s="31">
        <v>0</v>
      </c>
      <c r="Q1126" s="31">
        <v>0</v>
      </c>
      <c r="R1126" s="31">
        <v>0</v>
      </c>
      <c r="S1126" s="31">
        <v>0</v>
      </c>
      <c r="T1126" s="31">
        <v>0</v>
      </c>
      <c r="U1126" s="31">
        <v>0</v>
      </c>
      <c r="V1126" s="31">
        <v>0</v>
      </c>
      <c r="W1126" s="31">
        <v>0</v>
      </c>
      <c r="X1126" s="31">
        <v>0</v>
      </c>
      <c r="Y1126" s="31">
        <v>0</v>
      </c>
      <c r="Z1126" s="31">
        <v>0</v>
      </c>
      <c r="AA1126" s="31">
        <v>0</v>
      </c>
      <c r="AB1126" s="31">
        <v>0</v>
      </c>
      <c r="AC1126" s="31">
        <f>ROUND(N1126*1.5%,2)</f>
        <v>27866.27</v>
      </c>
      <c r="AD1126" s="31">
        <v>150000</v>
      </c>
      <c r="AE1126" s="31">
        <v>0</v>
      </c>
      <c r="AF1126" s="34">
        <v>2022</v>
      </c>
      <c r="AG1126" s="34">
        <v>2022</v>
      </c>
      <c r="AH1126" s="35">
        <v>2022</v>
      </c>
      <c r="AT1126" s="20" t="e">
        <f t="shared" si="259"/>
        <v>#N/A</v>
      </c>
      <c r="BZ1126" s="71"/>
    </row>
    <row r="1127" spans="1:78" ht="61.5" x14ac:dyDescent="0.85">
      <c r="A1127" s="20">
        <v>1</v>
      </c>
      <c r="B1127" s="66">
        <f>SUBTOTAL(103,$A$963:A1127)</f>
        <v>146</v>
      </c>
      <c r="C1127" s="177" t="s">
        <v>1743</v>
      </c>
      <c r="D1127" s="31">
        <f>E1127+F1127+G1127+H1127+I1127+J1127+L1127+N1127+P1127+R1127+T1127+U1127+V1127+W1127+X1127+Y1127+Z1127+AA1127+AB1127+AC1127+AD1127+AE1127</f>
        <v>1880732.6</v>
      </c>
      <c r="E1127" s="31">
        <v>0</v>
      </c>
      <c r="F1127" s="31">
        <v>0</v>
      </c>
      <c r="G1127" s="31">
        <v>0</v>
      </c>
      <c r="H1127" s="31">
        <v>0</v>
      </c>
      <c r="I1127" s="31">
        <v>0</v>
      </c>
      <c r="J1127" s="31">
        <v>0</v>
      </c>
      <c r="K1127" s="33">
        <v>0</v>
      </c>
      <c r="L1127" s="31">
        <v>0</v>
      </c>
      <c r="M1127" s="31">
        <v>429</v>
      </c>
      <c r="N1127" s="31">
        <f>1702938.53+2216.74</f>
        <v>1705155.27</v>
      </c>
      <c r="O1127" s="31">
        <v>0</v>
      </c>
      <c r="P1127" s="31">
        <v>0</v>
      </c>
      <c r="Q1127" s="31">
        <v>0</v>
      </c>
      <c r="R1127" s="31">
        <v>0</v>
      </c>
      <c r="S1127" s="31">
        <v>0</v>
      </c>
      <c r="T1127" s="31">
        <v>0</v>
      </c>
      <c r="U1127" s="31">
        <v>0</v>
      </c>
      <c r="V1127" s="31">
        <v>0</v>
      </c>
      <c r="W1127" s="31">
        <v>0</v>
      </c>
      <c r="X1127" s="31">
        <v>0</v>
      </c>
      <c r="Y1127" s="31">
        <v>0</v>
      </c>
      <c r="Z1127" s="31">
        <v>0</v>
      </c>
      <c r="AA1127" s="31">
        <v>0</v>
      </c>
      <c r="AB1127" s="31">
        <v>0</v>
      </c>
      <c r="AC1127" s="31">
        <f>ROUND(N1127*1.5%,2)</f>
        <v>25577.33</v>
      </c>
      <c r="AD1127" s="31">
        <v>150000</v>
      </c>
      <c r="AE1127" s="31">
        <v>0</v>
      </c>
      <c r="AF1127" s="34">
        <v>2022</v>
      </c>
      <c r="AG1127" s="34">
        <v>2022</v>
      </c>
      <c r="AH1127" s="35">
        <v>2022</v>
      </c>
      <c r="AT1127" s="20" t="e">
        <f t="shared" si="259"/>
        <v>#N/A</v>
      </c>
      <c r="BZ1127" s="71"/>
    </row>
    <row r="1128" spans="1:78" ht="61.5" x14ac:dyDescent="0.85">
      <c r="B1128" s="24" t="s">
        <v>853</v>
      </c>
      <c r="C1128" s="129"/>
      <c r="D1128" s="31">
        <f>D1129+D1130</f>
        <v>3516578.96</v>
      </c>
      <c r="E1128" s="31">
        <f t="shared" ref="E1128:AE1128" si="262">E1129+E1130</f>
        <v>0</v>
      </c>
      <c r="F1128" s="31">
        <f t="shared" si="262"/>
        <v>0</v>
      </c>
      <c r="G1128" s="31">
        <f t="shared" si="262"/>
        <v>0</v>
      </c>
      <c r="H1128" s="31">
        <f t="shared" si="262"/>
        <v>0</v>
      </c>
      <c r="I1128" s="31">
        <f t="shared" si="262"/>
        <v>0</v>
      </c>
      <c r="J1128" s="31">
        <f t="shared" si="262"/>
        <v>0</v>
      </c>
      <c r="K1128" s="33">
        <f t="shared" si="262"/>
        <v>0</v>
      </c>
      <c r="L1128" s="31">
        <f t="shared" si="262"/>
        <v>0</v>
      </c>
      <c r="M1128" s="31">
        <f t="shared" si="262"/>
        <v>856</v>
      </c>
      <c r="N1128" s="31">
        <f t="shared" si="262"/>
        <v>3228156.6100000003</v>
      </c>
      <c r="O1128" s="31">
        <f t="shared" si="262"/>
        <v>0</v>
      </c>
      <c r="P1128" s="31">
        <f t="shared" si="262"/>
        <v>0</v>
      </c>
      <c r="Q1128" s="31">
        <f t="shared" si="262"/>
        <v>0</v>
      </c>
      <c r="R1128" s="31">
        <f t="shared" si="262"/>
        <v>0</v>
      </c>
      <c r="S1128" s="31">
        <f t="shared" si="262"/>
        <v>0</v>
      </c>
      <c r="T1128" s="31">
        <f t="shared" si="262"/>
        <v>0</v>
      </c>
      <c r="U1128" s="31">
        <f t="shared" si="262"/>
        <v>0</v>
      </c>
      <c r="V1128" s="31">
        <f t="shared" si="262"/>
        <v>0</v>
      </c>
      <c r="W1128" s="31">
        <f t="shared" si="262"/>
        <v>0</v>
      </c>
      <c r="X1128" s="31">
        <f t="shared" si="262"/>
        <v>0</v>
      </c>
      <c r="Y1128" s="31">
        <f t="shared" si="262"/>
        <v>0</v>
      </c>
      <c r="Z1128" s="31">
        <f t="shared" si="262"/>
        <v>0</v>
      </c>
      <c r="AA1128" s="31">
        <f t="shared" si="262"/>
        <v>0</v>
      </c>
      <c r="AB1128" s="31">
        <f t="shared" si="262"/>
        <v>0</v>
      </c>
      <c r="AC1128" s="31">
        <f t="shared" si="262"/>
        <v>48422.350000000006</v>
      </c>
      <c r="AD1128" s="31">
        <f t="shared" si="262"/>
        <v>240000</v>
      </c>
      <c r="AE1128" s="31">
        <f t="shared" si="262"/>
        <v>0</v>
      </c>
      <c r="AF1128" s="72" t="s">
        <v>776</v>
      </c>
      <c r="AG1128" s="72" t="s">
        <v>776</v>
      </c>
      <c r="AH1128" s="88" t="s">
        <v>776</v>
      </c>
      <c r="AT1128" s="20" t="e">
        <f t="shared" si="259"/>
        <v>#N/A</v>
      </c>
      <c r="BZ1128" s="71">
        <v>3516578.96</v>
      </c>
    </row>
    <row r="1129" spans="1:78" ht="61.5" x14ac:dyDescent="0.85">
      <c r="A1129" s="20">
        <v>1</v>
      </c>
      <c r="B1129" s="66">
        <f>SUBTOTAL(103,$A$963:A1129)</f>
        <v>147</v>
      </c>
      <c r="C1129" s="177" t="s">
        <v>719</v>
      </c>
      <c r="D1129" s="31">
        <f>E1129+F1129+G1129+H1129+I1129+J1129+L1129+N1129+P1129+R1129+T1129+U1129+V1129+W1129+X1129+Y1129+Z1129+AA1129+AB1129+AC1129+AD1129+AE1129</f>
        <v>1913529.37</v>
      </c>
      <c r="E1129" s="31">
        <v>0</v>
      </c>
      <c r="F1129" s="31">
        <v>0</v>
      </c>
      <c r="G1129" s="31">
        <v>0</v>
      </c>
      <c r="H1129" s="31">
        <v>0</v>
      </c>
      <c r="I1129" s="31">
        <v>0</v>
      </c>
      <c r="J1129" s="31">
        <v>0</v>
      </c>
      <c r="K1129" s="33">
        <v>0</v>
      </c>
      <c r="L1129" s="31">
        <v>0</v>
      </c>
      <c r="M1129" s="31">
        <v>440</v>
      </c>
      <c r="N1129" s="31">
        <v>1767024.01</v>
      </c>
      <c r="O1129" s="31">
        <v>0</v>
      </c>
      <c r="P1129" s="31">
        <v>0</v>
      </c>
      <c r="Q1129" s="31">
        <v>0</v>
      </c>
      <c r="R1129" s="31">
        <v>0</v>
      </c>
      <c r="S1129" s="31">
        <v>0</v>
      </c>
      <c r="T1129" s="31">
        <v>0</v>
      </c>
      <c r="U1129" s="31">
        <v>0</v>
      </c>
      <c r="V1129" s="31">
        <v>0</v>
      </c>
      <c r="W1129" s="31">
        <v>0</v>
      </c>
      <c r="X1129" s="31">
        <v>0</v>
      </c>
      <c r="Y1129" s="31">
        <v>0</v>
      </c>
      <c r="Z1129" s="31">
        <v>0</v>
      </c>
      <c r="AA1129" s="31">
        <v>0</v>
      </c>
      <c r="AB1129" s="31">
        <v>0</v>
      </c>
      <c r="AC1129" s="31">
        <f>ROUND(N1129*1.5%,2)</f>
        <v>26505.360000000001</v>
      </c>
      <c r="AD1129" s="31">
        <v>120000</v>
      </c>
      <c r="AE1129" s="31">
        <v>0</v>
      </c>
      <c r="AF1129" s="34">
        <v>2022</v>
      </c>
      <c r="AG1129" s="34">
        <v>2022</v>
      </c>
      <c r="AH1129" s="35">
        <v>2022</v>
      </c>
      <c r="AT1129" s="20" t="e">
        <f t="shared" si="259"/>
        <v>#N/A</v>
      </c>
      <c r="BZ1129" s="71"/>
    </row>
    <row r="1130" spans="1:78" ht="61.5" x14ac:dyDescent="0.85">
      <c r="A1130" s="20">
        <v>1</v>
      </c>
      <c r="B1130" s="66">
        <f>SUBTOTAL(103,$A$963:A1130)</f>
        <v>148</v>
      </c>
      <c r="C1130" s="177" t="s">
        <v>717</v>
      </c>
      <c r="D1130" s="31">
        <f>E1130+F1130+G1130+H1130+I1130+J1130+L1130+N1130+P1130+R1130+T1130+U1130+V1130+W1130+X1130+Y1130+Z1130+AA1130+AB1130+AC1130+AD1130+AE1130</f>
        <v>1603049.59</v>
      </c>
      <c r="E1130" s="31">
        <v>0</v>
      </c>
      <c r="F1130" s="31">
        <v>0</v>
      </c>
      <c r="G1130" s="31">
        <v>0</v>
      </c>
      <c r="H1130" s="31">
        <v>0</v>
      </c>
      <c r="I1130" s="31">
        <v>0</v>
      </c>
      <c r="J1130" s="31">
        <v>0</v>
      </c>
      <c r="K1130" s="33">
        <v>0</v>
      </c>
      <c r="L1130" s="31">
        <v>0</v>
      </c>
      <c r="M1130" s="31">
        <v>416</v>
      </c>
      <c r="N1130" s="31">
        <v>1461132.6</v>
      </c>
      <c r="O1130" s="31">
        <v>0</v>
      </c>
      <c r="P1130" s="31">
        <v>0</v>
      </c>
      <c r="Q1130" s="31">
        <v>0</v>
      </c>
      <c r="R1130" s="31">
        <v>0</v>
      </c>
      <c r="S1130" s="31">
        <v>0</v>
      </c>
      <c r="T1130" s="31">
        <v>0</v>
      </c>
      <c r="U1130" s="31">
        <v>0</v>
      </c>
      <c r="V1130" s="31">
        <v>0</v>
      </c>
      <c r="W1130" s="31">
        <v>0</v>
      </c>
      <c r="X1130" s="31">
        <v>0</v>
      </c>
      <c r="Y1130" s="31">
        <v>0</v>
      </c>
      <c r="Z1130" s="31">
        <v>0</v>
      </c>
      <c r="AA1130" s="31">
        <v>0</v>
      </c>
      <c r="AB1130" s="31">
        <v>0</v>
      </c>
      <c r="AC1130" s="31">
        <f>ROUND(N1130*1.5%,2)</f>
        <v>21916.99</v>
      </c>
      <c r="AD1130" s="31">
        <v>120000</v>
      </c>
      <c r="AE1130" s="31">
        <v>0</v>
      </c>
      <c r="AF1130" s="34">
        <v>2022</v>
      </c>
      <c r="AG1130" s="34">
        <v>2022</v>
      </c>
      <c r="AH1130" s="35">
        <v>2022</v>
      </c>
      <c r="AT1130" s="20" t="e">
        <f t="shared" si="259"/>
        <v>#N/A</v>
      </c>
      <c r="BZ1130" s="71"/>
    </row>
    <row r="1131" spans="1:78" ht="61.5" x14ac:dyDescent="0.85">
      <c r="B1131" s="24" t="s">
        <v>895</v>
      </c>
      <c r="C1131" s="24"/>
      <c r="D1131" s="31">
        <f>D1132</f>
        <v>3598749.4899999998</v>
      </c>
      <c r="E1131" s="31">
        <f t="shared" ref="E1131:AE1131" si="263">E1132</f>
        <v>0</v>
      </c>
      <c r="F1131" s="31">
        <f t="shared" si="263"/>
        <v>0</v>
      </c>
      <c r="G1131" s="31">
        <f t="shared" si="263"/>
        <v>0</v>
      </c>
      <c r="H1131" s="31">
        <f t="shared" si="263"/>
        <v>0</v>
      </c>
      <c r="I1131" s="31">
        <f t="shared" si="263"/>
        <v>0</v>
      </c>
      <c r="J1131" s="31">
        <f t="shared" si="263"/>
        <v>0</v>
      </c>
      <c r="K1131" s="33">
        <f t="shared" si="263"/>
        <v>0</v>
      </c>
      <c r="L1131" s="31">
        <f t="shared" si="263"/>
        <v>0</v>
      </c>
      <c r="M1131" s="31">
        <f t="shared" si="263"/>
        <v>975.8</v>
      </c>
      <c r="N1131" s="31">
        <f t="shared" si="263"/>
        <v>3427339.4</v>
      </c>
      <c r="O1131" s="31">
        <f t="shared" si="263"/>
        <v>0</v>
      </c>
      <c r="P1131" s="31">
        <f t="shared" si="263"/>
        <v>0</v>
      </c>
      <c r="Q1131" s="31">
        <f t="shared" si="263"/>
        <v>0</v>
      </c>
      <c r="R1131" s="31">
        <f t="shared" si="263"/>
        <v>0</v>
      </c>
      <c r="S1131" s="31">
        <f t="shared" si="263"/>
        <v>0</v>
      </c>
      <c r="T1131" s="31">
        <f t="shared" si="263"/>
        <v>0</v>
      </c>
      <c r="U1131" s="31">
        <f t="shared" si="263"/>
        <v>0</v>
      </c>
      <c r="V1131" s="31">
        <f t="shared" si="263"/>
        <v>0</v>
      </c>
      <c r="W1131" s="31">
        <f t="shared" si="263"/>
        <v>0</v>
      </c>
      <c r="X1131" s="31">
        <f t="shared" si="263"/>
        <v>0</v>
      </c>
      <c r="Y1131" s="31">
        <f t="shared" si="263"/>
        <v>0</v>
      </c>
      <c r="Z1131" s="31">
        <f t="shared" si="263"/>
        <v>0</v>
      </c>
      <c r="AA1131" s="31">
        <f t="shared" si="263"/>
        <v>0</v>
      </c>
      <c r="AB1131" s="31">
        <f t="shared" si="263"/>
        <v>0</v>
      </c>
      <c r="AC1131" s="31">
        <f t="shared" si="263"/>
        <v>51410.09</v>
      </c>
      <c r="AD1131" s="31">
        <f t="shared" si="263"/>
        <v>120000</v>
      </c>
      <c r="AE1131" s="31">
        <f t="shared" si="263"/>
        <v>0</v>
      </c>
      <c r="AF1131" s="72" t="s">
        <v>776</v>
      </c>
      <c r="AG1131" s="72" t="s">
        <v>776</v>
      </c>
      <c r="AH1131" s="88" t="s">
        <v>776</v>
      </c>
      <c r="AT1131" s="20" t="e">
        <f t="shared" si="259"/>
        <v>#N/A</v>
      </c>
      <c r="BZ1131" s="71">
        <v>3598749.4899999998</v>
      </c>
    </row>
    <row r="1132" spans="1:78" ht="61.5" x14ac:dyDescent="0.85">
      <c r="A1132" s="20">
        <v>1</v>
      </c>
      <c r="B1132" s="66">
        <f>SUBTOTAL(103,$A$963:A1132)</f>
        <v>149</v>
      </c>
      <c r="C1132" s="177" t="s">
        <v>725</v>
      </c>
      <c r="D1132" s="31">
        <f>E1132+F1132+G1132+H1132+I1132+J1132+L1132+N1132+P1132+R1132+T1132+U1132+V1132+W1132+X1132+Y1132+Z1132+AA1132+AB1132+AC1132+AD1132+AE1132</f>
        <v>3598749.4899999998</v>
      </c>
      <c r="E1132" s="31">
        <v>0</v>
      </c>
      <c r="F1132" s="31">
        <v>0</v>
      </c>
      <c r="G1132" s="31">
        <v>0</v>
      </c>
      <c r="H1132" s="31">
        <v>0</v>
      </c>
      <c r="I1132" s="31">
        <v>0</v>
      </c>
      <c r="J1132" s="31">
        <v>0</v>
      </c>
      <c r="K1132" s="33">
        <v>0</v>
      </c>
      <c r="L1132" s="31">
        <v>0</v>
      </c>
      <c r="M1132" s="31">
        <v>975.8</v>
      </c>
      <c r="N1132" s="31">
        <v>3427339.4</v>
      </c>
      <c r="O1132" s="31">
        <v>0</v>
      </c>
      <c r="P1132" s="31">
        <v>0</v>
      </c>
      <c r="Q1132" s="31">
        <v>0</v>
      </c>
      <c r="R1132" s="31">
        <v>0</v>
      </c>
      <c r="S1132" s="31">
        <v>0</v>
      </c>
      <c r="T1132" s="31">
        <v>0</v>
      </c>
      <c r="U1132" s="31">
        <v>0</v>
      </c>
      <c r="V1132" s="31">
        <v>0</v>
      </c>
      <c r="W1132" s="31">
        <v>0</v>
      </c>
      <c r="X1132" s="31">
        <v>0</v>
      </c>
      <c r="Y1132" s="31">
        <v>0</v>
      </c>
      <c r="Z1132" s="31">
        <v>0</v>
      </c>
      <c r="AA1132" s="31">
        <v>0</v>
      </c>
      <c r="AB1132" s="31">
        <v>0</v>
      </c>
      <c r="AC1132" s="31">
        <f>ROUND(N1132*1.5%,2)</f>
        <v>51410.09</v>
      </c>
      <c r="AD1132" s="31">
        <v>120000</v>
      </c>
      <c r="AE1132" s="31">
        <v>0</v>
      </c>
      <c r="AF1132" s="34">
        <v>2022</v>
      </c>
      <c r="AG1132" s="34">
        <v>2022</v>
      </c>
      <c r="AH1132" s="35">
        <v>2022</v>
      </c>
      <c r="AT1132" s="20" t="e">
        <f t="shared" si="259"/>
        <v>#N/A</v>
      </c>
      <c r="BZ1132" s="71"/>
    </row>
    <row r="1133" spans="1:78" ht="61.5" x14ac:dyDescent="0.85">
      <c r="B1133" s="24" t="s">
        <v>855</v>
      </c>
      <c r="C1133" s="24"/>
      <c r="D1133" s="31">
        <f>D1134</f>
        <v>3488946.79</v>
      </c>
      <c r="E1133" s="31">
        <f t="shared" ref="E1133:AE1133" si="264">E1134</f>
        <v>0</v>
      </c>
      <c r="F1133" s="31">
        <f t="shared" si="264"/>
        <v>0</v>
      </c>
      <c r="G1133" s="31">
        <f t="shared" si="264"/>
        <v>0</v>
      </c>
      <c r="H1133" s="31">
        <f t="shared" si="264"/>
        <v>0</v>
      </c>
      <c r="I1133" s="31">
        <f t="shared" si="264"/>
        <v>0</v>
      </c>
      <c r="J1133" s="31">
        <f t="shared" si="264"/>
        <v>0</v>
      </c>
      <c r="K1133" s="33">
        <f t="shared" si="264"/>
        <v>0</v>
      </c>
      <c r="L1133" s="31">
        <f t="shared" si="264"/>
        <v>0</v>
      </c>
      <c r="M1133" s="31">
        <f t="shared" si="264"/>
        <v>945</v>
      </c>
      <c r="N1133" s="31">
        <f t="shared" si="264"/>
        <v>3319159.4</v>
      </c>
      <c r="O1133" s="31">
        <f t="shared" si="264"/>
        <v>0</v>
      </c>
      <c r="P1133" s="31">
        <f t="shared" si="264"/>
        <v>0</v>
      </c>
      <c r="Q1133" s="31">
        <f t="shared" si="264"/>
        <v>0</v>
      </c>
      <c r="R1133" s="31">
        <f t="shared" si="264"/>
        <v>0</v>
      </c>
      <c r="S1133" s="31">
        <f t="shared" si="264"/>
        <v>0</v>
      </c>
      <c r="T1133" s="31">
        <f t="shared" si="264"/>
        <v>0</v>
      </c>
      <c r="U1133" s="31">
        <f t="shared" si="264"/>
        <v>0</v>
      </c>
      <c r="V1133" s="31">
        <f t="shared" si="264"/>
        <v>0</v>
      </c>
      <c r="W1133" s="31">
        <f t="shared" si="264"/>
        <v>0</v>
      </c>
      <c r="X1133" s="31">
        <f t="shared" si="264"/>
        <v>0</v>
      </c>
      <c r="Y1133" s="31">
        <f t="shared" si="264"/>
        <v>0</v>
      </c>
      <c r="Z1133" s="31">
        <f t="shared" si="264"/>
        <v>0</v>
      </c>
      <c r="AA1133" s="31">
        <f t="shared" si="264"/>
        <v>0</v>
      </c>
      <c r="AB1133" s="31">
        <f t="shared" si="264"/>
        <v>0</v>
      </c>
      <c r="AC1133" s="31">
        <f t="shared" si="264"/>
        <v>49787.39</v>
      </c>
      <c r="AD1133" s="31">
        <f t="shared" si="264"/>
        <v>120000</v>
      </c>
      <c r="AE1133" s="31">
        <f t="shared" si="264"/>
        <v>0</v>
      </c>
      <c r="AF1133" s="72" t="s">
        <v>776</v>
      </c>
      <c r="AG1133" s="72" t="s">
        <v>776</v>
      </c>
      <c r="AH1133" s="88" t="s">
        <v>776</v>
      </c>
      <c r="AT1133" s="20" t="e">
        <f t="shared" si="259"/>
        <v>#N/A</v>
      </c>
      <c r="BZ1133" s="71">
        <v>3488946.79</v>
      </c>
    </row>
    <row r="1134" spans="1:78" ht="61.5" x14ac:dyDescent="0.85">
      <c r="A1134" s="20">
        <v>1</v>
      </c>
      <c r="B1134" s="66">
        <f>SUBTOTAL(103,$A$963:A1134)</f>
        <v>150</v>
      </c>
      <c r="C1134" s="177" t="s">
        <v>723</v>
      </c>
      <c r="D1134" s="31">
        <f>E1134+F1134+G1134+H1134+I1134+J1134+L1134+N1134+P1134+R1134+T1134+U1134+V1134+W1134+X1134+Y1134+Z1134+AA1134+AB1134+AC1134+AD1134+AE1134</f>
        <v>3488946.79</v>
      </c>
      <c r="E1134" s="31">
        <v>0</v>
      </c>
      <c r="F1134" s="31">
        <v>0</v>
      </c>
      <c r="G1134" s="31">
        <v>0</v>
      </c>
      <c r="H1134" s="31">
        <v>0</v>
      </c>
      <c r="I1134" s="31">
        <v>0</v>
      </c>
      <c r="J1134" s="31">
        <v>0</v>
      </c>
      <c r="K1134" s="33">
        <v>0</v>
      </c>
      <c r="L1134" s="31">
        <v>0</v>
      </c>
      <c r="M1134" s="31">
        <v>945</v>
      </c>
      <c r="N1134" s="31">
        <v>3319159.4</v>
      </c>
      <c r="O1134" s="31">
        <v>0</v>
      </c>
      <c r="P1134" s="31">
        <v>0</v>
      </c>
      <c r="Q1134" s="31">
        <v>0</v>
      </c>
      <c r="R1134" s="31">
        <v>0</v>
      </c>
      <c r="S1134" s="31">
        <v>0</v>
      </c>
      <c r="T1134" s="31">
        <v>0</v>
      </c>
      <c r="U1134" s="31">
        <v>0</v>
      </c>
      <c r="V1134" s="31">
        <v>0</v>
      </c>
      <c r="W1134" s="31">
        <v>0</v>
      </c>
      <c r="X1134" s="31">
        <v>0</v>
      </c>
      <c r="Y1134" s="31">
        <v>0</v>
      </c>
      <c r="Z1134" s="31">
        <v>0</v>
      </c>
      <c r="AA1134" s="31">
        <v>0</v>
      </c>
      <c r="AB1134" s="31">
        <v>0</v>
      </c>
      <c r="AC1134" s="31">
        <f>ROUND(N1134*1.5%,2)</f>
        <v>49787.39</v>
      </c>
      <c r="AD1134" s="31">
        <v>120000</v>
      </c>
      <c r="AE1134" s="31">
        <v>0</v>
      </c>
      <c r="AF1134" s="34">
        <v>2022</v>
      </c>
      <c r="AG1134" s="34">
        <v>2022</v>
      </c>
      <c r="AH1134" s="35">
        <v>2022</v>
      </c>
      <c r="AT1134" s="20" t="e">
        <f t="shared" si="259"/>
        <v>#N/A</v>
      </c>
      <c r="BZ1134" s="71"/>
    </row>
    <row r="1135" spans="1:78" ht="61.5" x14ac:dyDescent="0.85">
      <c r="B1135" s="24" t="s">
        <v>912</v>
      </c>
      <c r="C1135" s="24"/>
      <c r="D1135" s="31">
        <f>D1136</f>
        <v>1538879.17</v>
      </c>
      <c r="E1135" s="31">
        <f t="shared" ref="E1135:AE1135" si="265">E1136</f>
        <v>0</v>
      </c>
      <c r="F1135" s="31">
        <f t="shared" si="265"/>
        <v>0</v>
      </c>
      <c r="G1135" s="31">
        <f t="shared" si="265"/>
        <v>0</v>
      </c>
      <c r="H1135" s="31">
        <f t="shared" si="265"/>
        <v>0</v>
      </c>
      <c r="I1135" s="31">
        <f t="shared" si="265"/>
        <v>0</v>
      </c>
      <c r="J1135" s="31">
        <f t="shared" si="265"/>
        <v>0</v>
      </c>
      <c r="K1135" s="33">
        <f t="shared" si="265"/>
        <v>0</v>
      </c>
      <c r="L1135" s="31">
        <f t="shared" si="265"/>
        <v>0</v>
      </c>
      <c r="M1135" s="31">
        <f t="shared" si="265"/>
        <v>398</v>
      </c>
      <c r="N1135" s="31">
        <f t="shared" si="265"/>
        <v>1397910.51</v>
      </c>
      <c r="O1135" s="31">
        <f t="shared" si="265"/>
        <v>0</v>
      </c>
      <c r="P1135" s="31">
        <f t="shared" si="265"/>
        <v>0</v>
      </c>
      <c r="Q1135" s="31">
        <f t="shared" si="265"/>
        <v>0</v>
      </c>
      <c r="R1135" s="31">
        <f t="shared" si="265"/>
        <v>0</v>
      </c>
      <c r="S1135" s="31">
        <f t="shared" si="265"/>
        <v>0</v>
      </c>
      <c r="T1135" s="31">
        <f t="shared" si="265"/>
        <v>0</v>
      </c>
      <c r="U1135" s="31">
        <f t="shared" si="265"/>
        <v>0</v>
      </c>
      <c r="V1135" s="31">
        <f t="shared" si="265"/>
        <v>0</v>
      </c>
      <c r="W1135" s="31">
        <f t="shared" si="265"/>
        <v>0</v>
      </c>
      <c r="X1135" s="31">
        <f t="shared" si="265"/>
        <v>0</v>
      </c>
      <c r="Y1135" s="31">
        <f t="shared" si="265"/>
        <v>0</v>
      </c>
      <c r="Z1135" s="31">
        <f t="shared" si="265"/>
        <v>0</v>
      </c>
      <c r="AA1135" s="31">
        <f t="shared" si="265"/>
        <v>0</v>
      </c>
      <c r="AB1135" s="31">
        <f t="shared" si="265"/>
        <v>0</v>
      </c>
      <c r="AC1135" s="31">
        <f t="shared" si="265"/>
        <v>20968.66</v>
      </c>
      <c r="AD1135" s="31">
        <f t="shared" si="265"/>
        <v>120000</v>
      </c>
      <c r="AE1135" s="31">
        <f t="shared" si="265"/>
        <v>0</v>
      </c>
      <c r="AF1135" s="72" t="s">
        <v>776</v>
      </c>
      <c r="AG1135" s="72" t="s">
        <v>776</v>
      </c>
      <c r="AH1135" s="88" t="s">
        <v>776</v>
      </c>
      <c r="AT1135" s="20" t="e">
        <f t="shared" si="259"/>
        <v>#N/A</v>
      </c>
      <c r="BZ1135" s="71">
        <v>1538879.17</v>
      </c>
    </row>
    <row r="1136" spans="1:78" ht="61.5" x14ac:dyDescent="0.85">
      <c r="A1136" s="20">
        <v>1</v>
      </c>
      <c r="B1136" s="66">
        <f>SUBTOTAL(103,$A$963:A1136)</f>
        <v>151</v>
      </c>
      <c r="C1136" s="177" t="s">
        <v>720</v>
      </c>
      <c r="D1136" s="31">
        <f>E1136+F1136+G1136+H1136+I1136+J1136+L1136+N1136+P1136+R1136+T1136+U1136+V1136+W1136+X1136+Y1136+Z1136+AA1136+AB1136+AC1136+AD1136+AE1136</f>
        <v>1538879.17</v>
      </c>
      <c r="E1136" s="31">
        <v>0</v>
      </c>
      <c r="F1136" s="31">
        <v>0</v>
      </c>
      <c r="G1136" s="31">
        <v>0</v>
      </c>
      <c r="H1136" s="31">
        <v>0</v>
      </c>
      <c r="I1136" s="31">
        <v>0</v>
      </c>
      <c r="J1136" s="31">
        <v>0</v>
      </c>
      <c r="K1136" s="33">
        <v>0</v>
      </c>
      <c r="L1136" s="31">
        <v>0</v>
      </c>
      <c r="M1136" s="31">
        <v>398</v>
      </c>
      <c r="N1136" s="31">
        <v>1397910.51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1">
        <v>0</v>
      </c>
      <c r="X1136" s="31">
        <v>0</v>
      </c>
      <c r="Y1136" s="31">
        <v>0</v>
      </c>
      <c r="Z1136" s="31">
        <v>0</v>
      </c>
      <c r="AA1136" s="31">
        <v>0</v>
      </c>
      <c r="AB1136" s="31">
        <v>0</v>
      </c>
      <c r="AC1136" s="31">
        <f>ROUND(N1136*1.5%,2)</f>
        <v>20968.66</v>
      </c>
      <c r="AD1136" s="31">
        <v>120000</v>
      </c>
      <c r="AE1136" s="31">
        <v>0</v>
      </c>
      <c r="AF1136" s="34">
        <v>2022</v>
      </c>
      <c r="AG1136" s="34">
        <v>2022</v>
      </c>
      <c r="AH1136" s="35">
        <v>2022</v>
      </c>
      <c r="AT1136" s="20" t="e">
        <f t="shared" si="259"/>
        <v>#N/A</v>
      </c>
      <c r="BZ1136" s="71"/>
    </row>
    <row r="1137" spans="1:80" ht="61.5" x14ac:dyDescent="0.85">
      <c r="B1137" s="24" t="s">
        <v>856</v>
      </c>
      <c r="C1137" s="129"/>
      <c r="D1137" s="31">
        <f>SUM(D1138:D1143)</f>
        <v>29368928.999999996</v>
      </c>
      <c r="E1137" s="31">
        <f t="shared" ref="E1137:AE1137" si="266">SUM(E1138:E1143)</f>
        <v>0</v>
      </c>
      <c r="F1137" s="31">
        <f t="shared" si="266"/>
        <v>0</v>
      </c>
      <c r="G1137" s="31">
        <f t="shared" si="266"/>
        <v>0</v>
      </c>
      <c r="H1137" s="31">
        <f t="shared" si="266"/>
        <v>0</v>
      </c>
      <c r="I1137" s="31">
        <f t="shared" si="266"/>
        <v>0</v>
      </c>
      <c r="J1137" s="31">
        <f t="shared" si="266"/>
        <v>0</v>
      </c>
      <c r="K1137" s="33">
        <f t="shared" si="266"/>
        <v>0</v>
      </c>
      <c r="L1137" s="31">
        <f t="shared" si="266"/>
        <v>0</v>
      </c>
      <c r="M1137" s="31">
        <f t="shared" si="266"/>
        <v>3779.6</v>
      </c>
      <c r="N1137" s="31">
        <f t="shared" si="266"/>
        <v>20236969.890000001</v>
      </c>
      <c r="O1137" s="31">
        <f t="shared" si="266"/>
        <v>0</v>
      </c>
      <c r="P1137" s="31">
        <f t="shared" si="266"/>
        <v>0</v>
      </c>
      <c r="Q1137" s="31">
        <f t="shared" si="266"/>
        <v>0</v>
      </c>
      <c r="R1137" s="31">
        <f t="shared" si="266"/>
        <v>0</v>
      </c>
      <c r="S1137" s="31">
        <f t="shared" si="266"/>
        <v>0</v>
      </c>
      <c r="T1137" s="31">
        <f t="shared" si="266"/>
        <v>0</v>
      </c>
      <c r="U1137" s="31">
        <f t="shared" si="266"/>
        <v>7702861.6199999992</v>
      </c>
      <c r="V1137" s="31">
        <f t="shared" si="266"/>
        <v>0</v>
      </c>
      <c r="W1137" s="31">
        <f t="shared" si="266"/>
        <v>0</v>
      </c>
      <c r="X1137" s="31">
        <f t="shared" si="266"/>
        <v>0</v>
      </c>
      <c r="Y1137" s="31">
        <f t="shared" si="266"/>
        <v>0</v>
      </c>
      <c r="Z1137" s="31">
        <f t="shared" si="266"/>
        <v>0</v>
      </c>
      <c r="AA1137" s="31">
        <f t="shared" si="266"/>
        <v>0</v>
      </c>
      <c r="AB1137" s="31">
        <f t="shared" si="266"/>
        <v>0</v>
      </c>
      <c r="AC1137" s="31">
        <f t="shared" si="266"/>
        <v>419097.49</v>
      </c>
      <c r="AD1137" s="31">
        <f t="shared" si="266"/>
        <v>1010000</v>
      </c>
      <c r="AE1137" s="31">
        <f t="shared" si="266"/>
        <v>0</v>
      </c>
      <c r="AF1137" s="72" t="s">
        <v>776</v>
      </c>
      <c r="AG1137" s="72" t="s">
        <v>776</v>
      </c>
      <c r="AH1137" s="88" t="s">
        <v>776</v>
      </c>
      <c r="AT1137" s="20" t="e">
        <f t="shared" si="259"/>
        <v>#N/A</v>
      </c>
      <c r="BZ1137" s="31">
        <v>28415186.599999998</v>
      </c>
      <c r="CA1137" s="31"/>
      <c r="CB1137" s="31">
        <f>BZ1137-D1137</f>
        <v>-953742.39999999851</v>
      </c>
    </row>
    <row r="1138" spans="1:80" ht="61.5" x14ac:dyDescent="0.85">
      <c r="A1138" s="20">
        <v>1</v>
      </c>
      <c r="B1138" s="66">
        <f>SUBTOTAL(103,$A$963:A1138)</f>
        <v>152</v>
      </c>
      <c r="C1138" s="177" t="s">
        <v>135</v>
      </c>
      <c r="D1138" s="31">
        <f t="shared" ref="D1138:D1143" si="267">E1138+F1138+G1138+H1138+I1138+J1138+L1138+N1138+P1138+R1138+T1138+U1138+V1138+W1138+X1138+Y1138+Z1138+AA1138+AB1138+AC1138+AD1138+AE1138</f>
        <v>6533531.75</v>
      </c>
      <c r="E1138" s="31">
        <v>0</v>
      </c>
      <c r="F1138" s="31">
        <v>0</v>
      </c>
      <c r="G1138" s="31">
        <v>0</v>
      </c>
      <c r="H1138" s="31">
        <v>0</v>
      </c>
      <c r="I1138" s="31">
        <v>0</v>
      </c>
      <c r="J1138" s="31">
        <v>0</v>
      </c>
      <c r="K1138" s="33">
        <v>0</v>
      </c>
      <c r="L1138" s="31">
        <v>0</v>
      </c>
      <c r="M1138" s="31">
        <v>1175</v>
      </c>
      <c r="N1138" s="31">
        <f>5610837.44+648799.75</f>
        <v>6259637.1900000004</v>
      </c>
      <c r="O1138" s="31">
        <v>0</v>
      </c>
      <c r="P1138" s="31">
        <v>0</v>
      </c>
      <c r="Q1138" s="31">
        <v>0</v>
      </c>
      <c r="R1138" s="31">
        <v>0</v>
      </c>
      <c r="S1138" s="31">
        <v>0</v>
      </c>
      <c r="T1138" s="31">
        <v>0</v>
      </c>
      <c r="U1138" s="31">
        <v>0</v>
      </c>
      <c r="V1138" s="31">
        <v>0</v>
      </c>
      <c r="W1138" s="31">
        <v>0</v>
      </c>
      <c r="X1138" s="31">
        <v>0</v>
      </c>
      <c r="Y1138" s="31">
        <v>0</v>
      </c>
      <c r="Z1138" s="31">
        <v>0</v>
      </c>
      <c r="AA1138" s="31">
        <v>0</v>
      </c>
      <c r="AB1138" s="31">
        <v>0</v>
      </c>
      <c r="AC1138" s="31">
        <f>ROUND(N1138*1.5%,2)</f>
        <v>93894.56</v>
      </c>
      <c r="AD1138" s="31">
        <v>180000</v>
      </c>
      <c r="AE1138" s="31">
        <v>0</v>
      </c>
      <c r="AF1138" s="34">
        <v>2022</v>
      </c>
      <c r="AG1138" s="34">
        <v>2022</v>
      </c>
      <c r="AH1138" s="35">
        <v>2022</v>
      </c>
      <c r="AT1138" s="20" t="e">
        <f t="shared" si="259"/>
        <v>#N/A</v>
      </c>
      <c r="BZ1138" s="71"/>
    </row>
    <row r="1139" spans="1:80" ht="61.5" x14ac:dyDescent="0.85">
      <c r="A1139" s="20">
        <v>1</v>
      </c>
      <c r="B1139" s="66">
        <f>SUBTOTAL(103,$A$963:A1139)</f>
        <v>153</v>
      </c>
      <c r="C1139" s="177" t="s">
        <v>132</v>
      </c>
      <c r="D1139" s="31">
        <f t="shared" si="267"/>
        <v>5163742.3999999994</v>
      </c>
      <c r="E1139" s="31">
        <v>0</v>
      </c>
      <c r="F1139" s="31">
        <v>0</v>
      </c>
      <c r="G1139" s="31">
        <v>0</v>
      </c>
      <c r="H1139" s="31">
        <v>0</v>
      </c>
      <c r="I1139" s="31">
        <v>0</v>
      </c>
      <c r="J1139" s="31">
        <v>0</v>
      </c>
      <c r="K1139" s="33">
        <v>0</v>
      </c>
      <c r="L1139" s="31">
        <v>0</v>
      </c>
      <c r="M1139" s="31">
        <v>0</v>
      </c>
      <c r="N1139" s="31">
        <v>0</v>
      </c>
      <c r="O1139" s="31">
        <v>0</v>
      </c>
      <c r="P1139" s="31">
        <v>0</v>
      </c>
      <c r="Q1139" s="31">
        <v>0</v>
      </c>
      <c r="R1139" s="31">
        <v>0</v>
      </c>
      <c r="S1139" s="31">
        <v>0</v>
      </c>
      <c r="T1139" s="31">
        <v>0</v>
      </c>
      <c r="U1139" s="31">
        <v>4890386.5999999996</v>
      </c>
      <c r="V1139" s="31">
        <v>0</v>
      </c>
      <c r="W1139" s="31">
        <v>0</v>
      </c>
      <c r="X1139" s="31">
        <v>0</v>
      </c>
      <c r="Y1139" s="31">
        <v>0</v>
      </c>
      <c r="Z1139" s="31">
        <v>0</v>
      </c>
      <c r="AA1139" s="31">
        <v>0</v>
      </c>
      <c r="AB1139" s="31">
        <v>0</v>
      </c>
      <c r="AC1139" s="31">
        <f>ROUND(U1139*1.5%,2)</f>
        <v>73355.8</v>
      </c>
      <c r="AD1139" s="31">
        <v>200000</v>
      </c>
      <c r="AE1139" s="31">
        <v>0</v>
      </c>
      <c r="AF1139" s="34">
        <v>2022</v>
      </c>
      <c r="AG1139" s="34">
        <v>2022</v>
      </c>
      <c r="AH1139" s="35">
        <v>2022</v>
      </c>
      <c r="AT1139" s="20" t="e">
        <f t="shared" si="259"/>
        <v>#N/A</v>
      </c>
      <c r="BZ1139" s="71"/>
    </row>
    <row r="1140" spans="1:80" ht="61.5" x14ac:dyDescent="0.85">
      <c r="A1140" s="20">
        <v>1</v>
      </c>
      <c r="B1140" s="66">
        <f>SUBTOTAL(103,$A$963:A1140)</f>
        <v>154</v>
      </c>
      <c r="C1140" s="177" t="s">
        <v>137</v>
      </c>
      <c r="D1140" s="31">
        <f t="shared" si="267"/>
        <v>4587373.3600000003</v>
      </c>
      <c r="E1140" s="31">
        <v>0</v>
      </c>
      <c r="F1140" s="31">
        <v>0</v>
      </c>
      <c r="G1140" s="31">
        <v>0</v>
      </c>
      <c r="H1140" s="31">
        <v>0</v>
      </c>
      <c r="I1140" s="31">
        <v>0</v>
      </c>
      <c r="J1140" s="31">
        <v>0</v>
      </c>
      <c r="K1140" s="33">
        <v>0</v>
      </c>
      <c r="L1140" s="31">
        <v>0</v>
      </c>
      <c r="M1140" s="31">
        <v>825</v>
      </c>
      <c r="N1140" s="31">
        <f>3916256.16+455540.25</f>
        <v>4371796.41</v>
      </c>
      <c r="O1140" s="31">
        <v>0</v>
      </c>
      <c r="P1140" s="31">
        <v>0</v>
      </c>
      <c r="Q1140" s="31">
        <v>0</v>
      </c>
      <c r="R1140" s="31">
        <v>0</v>
      </c>
      <c r="S1140" s="31">
        <v>0</v>
      </c>
      <c r="T1140" s="31">
        <v>0</v>
      </c>
      <c r="U1140" s="31">
        <v>0</v>
      </c>
      <c r="V1140" s="31">
        <v>0</v>
      </c>
      <c r="W1140" s="31">
        <v>0</v>
      </c>
      <c r="X1140" s="31">
        <v>0</v>
      </c>
      <c r="Y1140" s="31">
        <v>0</v>
      </c>
      <c r="Z1140" s="31">
        <v>0</v>
      </c>
      <c r="AA1140" s="31">
        <v>0</v>
      </c>
      <c r="AB1140" s="31">
        <v>0</v>
      </c>
      <c r="AC1140" s="31">
        <f>ROUND(N1140*1.5%,2)</f>
        <v>65576.95</v>
      </c>
      <c r="AD1140" s="31">
        <v>150000</v>
      </c>
      <c r="AE1140" s="31">
        <v>0</v>
      </c>
      <c r="AF1140" s="34">
        <v>2022</v>
      </c>
      <c r="AG1140" s="34">
        <v>2022</v>
      </c>
      <c r="AH1140" s="35">
        <v>2022</v>
      </c>
      <c r="AT1140" s="20" t="e">
        <f t="shared" si="259"/>
        <v>#N/A</v>
      </c>
      <c r="BZ1140" s="71"/>
    </row>
    <row r="1141" spans="1:80" ht="61.5" x14ac:dyDescent="0.85">
      <c r="A1141" s="20">
        <v>1</v>
      </c>
      <c r="B1141" s="66">
        <f>SUBTOTAL(103,$A$963:A1141)</f>
        <v>155</v>
      </c>
      <c r="C1141" s="177" t="s">
        <v>133</v>
      </c>
      <c r="D1141" s="31">
        <f t="shared" si="267"/>
        <v>5599375.7199999997</v>
      </c>
      <c r="E1141" s="31">
        <v>0</v>
      </c>
      <c r="F1141" s="31">
        <v>0</v>
      </c>
      <c r="G1141" s="31">
        <v>0</v>
      </c>
      <c r="H1141" s="31">
        <v>0</v>
      </c>
      <c r="I1141" s="31">
        <v>0</v>
      </c>
      <c r="J1141" s="31">
        <v>0</v>
      </c>
      <c r="K1141" s="33">
        <v>0</v>
      </c>
      <c r="L1141" s="31">
        <v>0</v>
      </c>
      <c r="M1141" s="31">
        <v>1007</v>
      </c>
      <c r="N1141" s="31">
        <f>4783251.23+556035.19</f>
        <v>5339286.42</v>
      </c>
      <c r="O1141" s="31">
        <v>0</v>
      </c>
      <c r="P1141" s="31">
        <v>0</v>
      </c>
      <c r="Q1141" s="31">
        <v>0</v>
      </c>
      <c r="R1141" s="31">
        <v>0</v>
      </c>
      <c r="S1141" s="31">
        <v>0</v>
      </c>
      <c r="T1141" s="31">
        <v>0</v>
      </c>
      <c r="U1141" s="31">
        <v>0</v>
      </c>
      <c r="V1141" s="31">
        <v>0</v>
      </c>
      <c r="W1141" s="31">
        <v>0</v>
      </c>
      <c r="X1141" s="31">
        <v>0</v>
      </c>
      <c r="Y1141" s="31">
        <v>0</v>
      </c>
      <c r="Z1141" s="31">
        <v>0</v>
      </c>
      <c r="AA1141" s="31">
        <v>0</v>
      </c>
      <c r="AB1141" s="31">
        <v>0</v>
      </c>
      <c r="AC1141" s="31">
        <f>ROUND(N1141*1.5%,2)</f>
        <v>80089.3</v>
      </c>
      <c r="AD1141" s="31">
        <v>180000</v>
      </c>
      <c r="AE1141" s="31">
        <v>0</v>
      </c>
      <c r="AF1141" s="34">
        <v>2022</v>
      </c>
      <c r="AG1141" s="34">
        <v>2022</v>
      </c>
      <c r="AH1141" s="35">
        <v>2022</v>
      </c>
      <c r="AT1141" s="20" t="e">
        <f t="shared" si="259"/>
        <v>#N/A</v>
      </c>
      <c r="BZ1141" s="71"/>
    </row>
    <row r="1142" spans="1:80" ht="61.5" x14ac:dyDescent="0.85">
      <c r="A1142" s="20">
        <v>1</v>
      </c>
      <c r="B1142" s="66">
        <f>SUBTOTAL(103,$A$963:A1142)</f>
        <v>156</v>
      </c>
      <c r="C1142" s="177" t="s">
        <v>134</v>
      </c>
      <c r="D1142" s="31">
        <f t="shared" si="267"/>
        <v>4480243.62</v>
      </c>
      <c r="E1142" s="31">
        <v>0</v>
      </c>
      <c r="F1142" s="31">
        <v>0</v>
      </c>
      <c r="G1142" s="31">
        <v>0</v>
      </c>
      <c r="H1142" s="31">
        <v>0</v>
      </c>
      <c r="I1142" s="31">
        <v>0</v>
      </c>
      <c r="J1142" s="31">
        <v>0</v>
      </c>
      <c r="K1142" s="33">
        <v>0</v>
      </c>
      <c r="L1142" s="31">
        <v>0</v>
      </c>
      <c r="M1142" s="31">
        <v>772.6</v>
      </c>
      <c r="N1142" s="31">
        <f>3201418.72+426606.54+638224.61</f>
        <v>4266249.87</v>
      </c>
      <c r="O1142" s="31">
        <v>0</v>
      </c>
      <c r="P1142" s="31">
        <v>0</v>
      </c>
      <c r="Q1142" s="31">
        <v>0</v>
      </c>
      <c r="R1142" s="31">
        <v>0</v>
      </c>
      <c r="S1142" s="31">
        <v>0</v>
      </c>
      <c r="T1142" s="31">
        <v>0</v>
      </c>
      <c r="U1142" s="31">
        <v>0</v>
      </c>
      <c r="V1142" s="31">
        <v>0</v>
      </c>
      <c r="W1142" s="31">
        <v>0</v>
      </c>
      <c r="X1142" s="31">
        <v>0</v>
      </c>
      <c r="Y1142" s="31">
        <v>0</v>
      </c>
      <c r="Z1142" s="31">
        <v>0</v>
      </c>
      <c r="AA1142" s="31">
        <v>0</v>
      </c>
      <c r="AB1142" s="31">
        <v>0</v>
      </c>
      <c r="AC1142" s="31">
        <f>ROUND(N1142*1.5%,2)</f>
        <v>63993.75</v>
      </c>
      <c r="AD1142" s="31">
        <v>150000</v>
      </c>
      <c r="AE1142" s="31">
        <v>0</v>
      </c>
      <c r="AF1142" s="34">
        <v>2022</v>
      </c>
      <c r="AG1142" s="34">
        <v>2022</v>
      </c>
      <c r="AH1142" s="35">
        <v>2022</v>
      </c>
      <c r="AT1142" s="20" t="e">
        <f t="shared" si="259"/>
        <v>#N/A</v>
      </c>
      <c r="BZ1142" s="71"/>
    </row>
    <row r="1143" spans="1:80" ht="61.5" x14ac:dyDescent="0.85">
      <c r="A1143" s="20">
        <v>1</v>
      </c>
      <c r="B1143" s="66">
        <f>SUBTOTAL(103,$A$963:A1143)</f>
        <v>157</v>
      </c>
      <c r="C1143" s="177" t="s">
        <v>1641</v>
      </c>
      <c r="D1143" s="31">
        <f t="shared" si="267"/>
        <v>3004662.15</v>
      </c>
      <c r="E1143" s="31">
        <v>0</v>
      </c>
      <c r="F1143" s="31">
        <v>0</v>
      </c>
      <c r="G1143" s="31">
        <v>0</v>
      </c>
      <c r="H1143" s="31">
        <v>0</v>
      </c>
      <c r="I1143" s="31">
        <v>0</v>
      </c>
      <c r="J1143" s="31">
        <v>0</v>
      </c>
      <c r="K1143" s="33">
        <v>0</v>
      </c>
      <c r="L1143" s="31">
        <v>0</v>
      </c>
      <c r="M1143" s="31">
        <v>0</v>
      </c>
      <c r="N1143" s="31">
        <v>0</v>
      </c>
      <c r="O1143" s="31">
        <v>0</v>
      </c>
      <c r="P1143" s="31">
        <v>0</v>
      </c>
      <c r="Q1143" s="31">
        <v>0</v>
      </c>
      <c r="R1143" s="31">
        <v>0</v>
      </c>
      <c r="S1143" s="31">
        <v>0</v>
      </c>
      <c r="T1143" s="31">
        <v>0</v>
      </c>
      <c r="U1143" s="31">
        <f>2786886.72+25588.3</f>
        <v>2812475.02</v>
      </c>
      <c r="V1143" s="31">
        <v>0</v>
      </c>
      <c r="W1143" s="31">
        <v>0</v>
      </c>
      <c r="X1143" s="31">
        <v>0</v>
      </c>
      <c r="Y1143" s="31">
        <v>0</v>
      </c>
      <c r="Z1143" s="31">
        <v>0</v>
      </c>
      <c r="AA1143" s="31">
        <v>0</v>
      </c>
      <c r="AB1143" s="31">
        <v>0</v>
      </c>
      <c r="AC1143" s="31">
        <f>ROUND(U1143*1.5%,2)</f>
        <v>42187.13</v>
      </c>
      <c r="AD1143" s="31">
        <v>150000</v>
      </c>
      <c r="AE1143" s="31">
        <v>0</v>
      </c>
      <c r="AF1143" s="34">
        <v>2022</v>
      </c>
      <c r="AG1143" s="34">
        <v>2022</v>
      </c>
      <c r="AH1143" s="35">
        <v>2022</v>
      </c>
      <c r="BZ1143" s="71"/>
    </row>
    <row r="1144" spans="1:80" ht="61.5" x14ac:dyDescent="0.85">
      <c r="B1144" s="24" t="s">
        <v>862</v>
      </c>
      <c r="C1144" s="129"/>
      <c r="D1144" s="31">
        <f>D1145+D1146</f>
        <v>5777967.8699999992</v>
      </c>
      <c r="E1144" s="31">
        <f t="shared" ref="E1144:AE1144" si="268">E1145+E1146</f>
        <v>0</v>
      </c>
      <c r="F1144" s="31">
        <f t="shared" si="268"/>
        <v>0</v>
      </c>
      <c r="G1144" s="31">
        <f t="shared" si="268"/>
        <v>0</v>
      </c>
      <c r="H1144" s="31">
        <f t="shared" si="268"/>
        <v>0</v>
      </c>
      <c r="I1144" s="31">
        <f t="shared" si="268"/>
        <v>0</v>
      </c>
      <c r="J1144" s="31">
        <f t="shared" si="268"/>
        <v>0</v>
      </c>
      <c r="K1144" s="33">
        <f t="shared" si="268"/>
        <v>0</v>
      </c>
      <c r="L1144" s="31">
        <f t="shared" si="268"/>
        <v>0</v>
      </c>
      <c r="M1144" s="31">
        <f t="shared" si="268"/>
        <v>630</v>
      </c>
      <c r="N1144" s="31">
        <f t="shared" si="268"/>
        <v>3258269.85</v>
      </c>
      <c r="O1144" s="31">
        <f t="shared" si="268"/>
        <v>0</v>
      </c>
      <c r="P1144" s="31">
        <f t="shared" si="268"/>
        <v>0</v>
      </c>
      <c r="Q1144" s="31">
        <f t="shared" si="268"/>
        <v>437</v>
      </c>
      <c r="R1144" s="31">
        <f t="shared" si="268"/>
        <v>2158447.2599999998</v>
      </c>
      <c r="S1144" s="31">
        <f t="shared" si="268"/>
        <v>0</v>
      </c>
      <c r="T1144" s="31">
        <f t="shared" si="268"/>
        <v>0</v>
      </c>
      <c r="U1144" s="31">
        <f t="shared" si="268"/>
        <v>0</v>
      </c>
      <c r="V1144" s="31">
        <f t="shared" si="268"/>
        <v>0</v>
      </c>
      <c r="W1144" s="31">
        <f t="shared" si="268"/>
        <v>0</v>
      </c>
      <c r="X1144" s="31">
        <f t="shared" si="268"/>
        <v>0</v>
      </c>
      <c r="Y1144" s="31">
        <f t="shared" si="268"/>
        <v>0</v>
      </c>
      <c r="Z1144" s="31">
        <f t="shared" si="268"/>
        <v>0</v>
      </c>
      <c r="AA1144" s="31">
        <f t="shared" si="268"/>
        <v>0</v>
      </c>
      <c r="AB1144" s="31">
        <f t="shared" si="268"/>
        <v>0</v>
      </c>
      <c r="AC1144" s="31">
        <f t="shared" si="268"/>
        <v>81250.760000000009</v>
      </c>
      <c r="AD1144" s="31">
        <f t="shared" si="268"/>
        <v>280000</v>
      </c>
      <c r="AE1144" s="31">
        <f t="shared" si="268"/>
        <v>0</v>
      </c>
      <c r="AF1144" s="130" t="s">
        <v>776</v>
      </c>
      <c r="AG1144" s="130" t="s">
        <v>776</v>
      </c>
      <c r="AH1144" s="131" t="s">
        <v>776</v>
      </c>
      <c r="AT1144" s="20" t="e">
        <f t="shared" ref="AT1144:AT1186" si="269">VLOOKUP(C1144,AW:AX,2,FALSE)</f>
        <v>#N/A</v>
      </c>
      <c r="BZ1144" s="71">
        <v>5777967.8699999992</v>
      </c>
    </row>
    <row r="1145" spans="1:80" ht="61.5" x14ac:dyDescent="0.85">
      <c r="A1145" s="20">
        <v>1</v>
      </c>
      <c r="B1145" s="66">
        <f>SUBTOTAL(103,$A$963:A1145)</f>
        <v>158</v>
      </c>
      <c r="C1145" s="177" t="s">
        <v>182</v>
      </c>
      <c r="D1145" s="31">
        <f>E1145+F1145+G1145+H1145+I1145+J1145+L1145+N1145+P1145+R1145+T1145+U1145+V1145+W1145+X1145+Y1145+Z1145+AA1145+AB1145+AC1145+AD1145+AE1145</f>
        <v>3457143.9</v>
      </c>
      <c r="E1145" s="31">
        <v>0</v>
      </c>
      <c r="F1145" s="31">
        <v>0</v>
      </c>
      <c r="G1145" s="31">
        <v>0</v>
      </c>
      <c r="H1145" s="31">
        <v>0</v>
      </c>
      <c r="I1145" s="31">
        <v>0</v>
      </c>
      <c r="J1145" s="31">
        <v>0</v>
      </c>
      <c r="K1145" s="33">
        <v>0</v>
      </c>
      <c r="L1145" s="31">
        <v>0</v>
      </c>
      <c r="M1145" s="31">
        <v>630</v>
      </c>
      <c r="N1145" s="31">
        <v>3258269.85</v>
      </c>
      <c r="O1145" s="31">
        <v>0</v>
      </c>
      <c r="P1145" s="31">
        <v>0</v>
      </c>
      <c r="Q1145" s="31">
        <v>0</v>
      </c>
      <c r="R1145" s="31">
        <v>0</v>
      </c>
      <c r="S1145" s="31">
        <v>0</v>
      </c>
      <c r="T1145" s="31">
        <v>0</v>
      </c>
      <c r="U1145" s="31">
        <v>0</v>
      </c>
      <c r="V1145" s="31">
        <v>0</v>
      </c>
      <c r="W1145" s="31">
        <v>0</v>
      </c>
      <c r="X1145" s="31">
        <v>0</v>
      </c>
      <c r="Y1145" s="31">
        <v>0</v>
      </c>
      <c r="Z1145" s="31">
        <v>0</v>
      </c>
      <c r="AA1145" s="31">
        <v>0</v>
      </c>
      <c r="AB1145" s="31">
        <v>0</v>
      </c>
      <c r="AC1145" s="31">
        <f>ROUND(N1145*1.5%,2)</f>
        <v>48874.05</v>
      </c>
      <c r="AD1145" s="31">
        <v>150000</v>
      </c>
      <c r="AE1145" s="31">
        <v>0</v>
      </c>
      <c r="AF1145" s="34">
        <v>2022</v>
      </c>
      <c r="AG1145" s="34">
        <v>2022</v>
      </c>
      <c r="AH1145" s="35">
        <v>2022</v>
      </c>
      <c r="AT1145" s="20" t="e">
        <f t="shared" si="269"/>
        <v>#N/A</v>
      </c>
      <c r="BZ1145" s="71"/>
    </row>
    <row r="1146" spans="1:80" ht="61.5" x14ac:dyDescent="0.85">
      <c r="A1146" s="20">
        <v>1</v>
      </c>
      <c r="B1146" s="66">
        <f>SUBTOTAL(103,$A$963:A1146)</f>
        <v>159</v>
      </c>
      <c r="C1146" s="177" t="s">
        <v>183</v>
      </c>
      <c r="D1146" s="31">
        <f>E1146+F1146+G1146+H1146+I1146+J1146+L1146+N1146+P1146+R1146+T1146+U1146+V1146+W1146+X1146+Y1146+Z1146+AA1146+AB1146+AC1146+AD1146+AE1146</f>
        <v>2320823.9699999997</v>
      </c>
      <c r="E1146" s="31">
        <v>0</v>
      </c>
      <c r="F1146" s="31">
        <v>0</v>
      </c>
      <c r="G1146" s="31">
        <v>0</v>
      </c>
      <c r="H1146" s="31">
        <v>0</v>
      </c>
      <c r="I1146" s="31">
        <v>0</v>
      </c>
      <c r="J1146" s="31">
        <v>0</v>
      </c>
      <c r="K1146" s="33">
        <v>0</v>
      </c>
      <c r="L1146" s="31">
        <v>0</v>
      </c>
      <c r="M1146" s="31">
        <v>0</v>
      </c>
      <c r="N1146" s="31">
        <v>0</v>
      </c>
      <c r="O1146" s="31">
        <v>0</v>
      </c>
      <c r="P1146" s="31">
        <v>0</v>
      </c>
      <c r="Q1146" s="31">
        <v>437</v>
      </c>
      <c r="R1146" s="31">
        <v>2158447.2599999998</v>
      </c>
      <c r="S1146" s="31">
        <v>0</v>
      </c>
      <c r="T1146" s="31">
        <v>0</v>
      </c>
      <c r="U1146" s="31">
        <v>0</v>
      </c>
      <c r="V1146" s="31">
        <v>0</v>
      </c>
      <c r="W1146" s="31">
        <v>0</v>
      </c>
      <c r="X1146" s="31">
        <v>0</v>
      </c>
      <c r="Y1146" s="31">
        <v>0</v>
      </c>
      <c r="Z1146" s="31">
        <v>0</v>
      </c>
      <c r="AA1146" s="31">
        <v>0</v>
      </c>
      <c r="AB1146" s="31">
        <v>0</v>
      </c>
      <c r="AC1146" s="31">
        <f>ROUND(R1146*1.5%,2)</f>
        <v>32376.71</v>
      </c>
      <c r="AD1146" s="31">
        <v>130000</v>
      </c>
      <c r="AE1146" s="31">
        <v>0</v>
      </c>
      <c r="AF1146" s="34">
        <v>2022</v>
      </c>
      <c r="AG1146" s="34">
        <v>2022</v>
      </c>
      <c r="AH1146" s="35">
        <v>2022</v>
      </c>
      <c r="AT1146" s="20" t="e">
        <f t="shared" si="269"/>
        <v>#N/A</v>
      </c>
      <c r="BZ1146" s="71"/>
    </row>
    <row r="1147" spans="1:80" ht="61.5" x14ac:dyDescent="0.85">
      <c r="B1147" s="24" t="s">
        <v>859</v>
      </c>
      <c r="C1147" s="24"/>
      <c r="D1147" s="31">
        <f>D1148+D1149+D1150</f>
        <v>4715781.71</v>
      </c>
      <c r="E1147" s="31">
        <f t="shared" ref="E1147:AE1147" si="270">E1148+E1149+E1150</f>
        <v>0</v>
      </c>
      <c r="F1147" s="31">
        <f t="shared" si="270"/>
        <v>0</v>
      </c>
      <c r="G1147" s="31">
        <f t="shared" si="270"/>
        <v>0</v>
      </c>
      <c r="H1147" s="31">
        <f t="shared" si="270"/>
        <v>0</v>
      </c>
      <c r="I1147" s="31">
        <f t="shared" si="270"/>
        <v>0</v>
      </c>
      <c r="J1147" s="31">
        <f t="shared" si="270"/>
        <v>0</v>
      </c>
      <c r="K1147" s="33">
        <f t="shared" si="270"/>
        <v>0</v>
      </c>
      <c r="L1147" s="31">
        <f t="shared" si="270"/>
        <v>0</v>
      </c>
      <c r="M1147" s="31">
        <f t="shared" si="270"/>
        <v>543</v>
      </c>
      <c r="N1147" s="31">
        <f t="shared" si="270"/>
        <v>2724828.46</v>
      </c>
      <c r="O1147" s="31">
        <f t="shared" si="270"/>
        <v>0</v>
      </c>
      <c r="P1147" s="31">
        <f t="shared" si="270"/>
        <v>0</v>
      </c>
      <c r="Q1147" s="31">
        <f t="shared" si="270"/>
        <v>322</v>
      </c>
      <c r="R1147" s="31">
        <f t="shared" si="270"/>
        <v>1586286.52</v>
      </c>
      <c r="S1147" s="31">
        <f t="shared" si="270"/>
        <v>0</v>
      </c>
      <c r="T1147" s="31">
        <f t="shared" si="270"/>
        <v>0</v>
      </c>
      <c r="U1147" s="31">
        <f t="shared" si="270"/>
        <v>0</v>
      </c>
      <c r="V1147" s="31">
        <f t="shared" si="270"/>
        <v>0</v>
      </c>
      <c r="W1147" s="31">
        <f t="shared" si="270"/>
        <v>0</v>
      </c>
      <c r="X1147" s="31">
        <f t="shared" si="270"/>
        <v>0</v>
      </c>
      <c r="Y1147" s="31">
        <f t="shared" si="270"/>
        <v>0</v>
      </c>
      <c r="Z1147" s="31">
        <f t="shared" si="270"/>
        <v>0</v>
      </c>
      <c r="AA1147" s="31">
        <f t="shared" si="270"/>
        <v>0</v>
      </c>
      <c r="AB1147" s="31">
        <f t="shared" si="270"/>
        <v>0</v>
      </c>
      <c r="AC1147" s="31">
        <f t="shared" si="270"/>
        <v>64666.729999999996</v>
      </c>
      <c r="AD1147" s="31">
        <f t="shared" si="270"/>
        <v>340000</v>
      </c>
      <c r="AE1147" s="31">
        <f t="shared" si="270"/>
        <v>0</v>
      </c>
      <c r="AF1147" s="130" t="s">
        <v>776</v>
      </c>
      <c r="AG1147" s="130" t="s">
        <v>776</v>
      </c>
      <c r="AH1147" s="131" t="s">
        <v>776</v>
      </c>
      <c r="AT1147" s="20" t="e">
        <f t="shared" si="269"/>
        <v>#N/A</v>
      </c>
      <c r="BZ1147" s="71">
        <v>4715781.71</v>
      </c>
    </row>
    <row r="1148" spans="1:80" ht="61.5" x14ac:dyDescent="0.85">
      <c r="A1148" s="20">
        <v>1</v>
      </c>
      <c r="B1148" s="66">
        <f>SUBTOTAL(103,$A$963:A1148)</f>
        <v>160</v>
      </c>
      <c r="C1148" s="177" t="s">
        <v>817</v>
      </c>
      <c r="D1148" s="31">
        <f>E1148+F1148+G1148+H1148+I1148+J1148+L1148+N1148+P1148+R1148+T1148+U1148+V1148+W1148+X1148+Y1148+Z1148+AA1148+AB1148+AC1148+AD1148+AE1148</f>
        <v>1710080.82</v>
      </c>
      <c r="E1148" s="31">
        <v>0</v>
      </c>
      <c r="F1148" s="31">
        <v>0</v>
      </c>
      <c r="G1148" s="31">
        <v>0</v>
      </c>
      <c r="H1148" s="31">
        <v>0</v>
      </c>
      <c r="I1148" s="31">
        <v>0</v>
      </c>
      <c r="J1148" s="31">
        <v>0</v>
      </c>
      <c r="K1148" s="33">
        <v>0</v>
      </c>
      <c r="L1148" s="31">
        <v>0</v>
      </c>
      <c r="M1148" s="31">
        <v>0</v>
      </c>
      <c r="N1148" s="31">
        <v>0</v>
      </c>
      <c r="O1148" s="31">
        <v>0</v>
      </c>
      <c r="P1148" s="31">
        <v>0</v>
      </c>
      <c r="Q1148" s="31">
        <v>322</v>
      </c>
      <c r="R1148" s="31">
        <v>1586286.52</v>
      </c>
      <c r="S1148" s="31">
        <v>0</v>
      </c>
      <c r="T1148" s="31">
        <v>0</v>
      </c>
      <c r="U1148" s="31">
        <v>0</v>
      </c>
      <c r="V1148" s="31">
        <v>0</v>
      </c>
      <c r="W1148" s="31">
        <v>0</v>
      </c>
      <c r="X1148" s="31">
        <v>0</v>
      </c>
      <c r="Y1148" s="31">
        <v>0</v>
      </c>
      <c r="Z1148" s="31">
        <v>0</v>
      </c>
      <c r="AA1148" s="31">
        <v>0</v>
      </c>
      <c r="AB1148" s="31">
        <v>0</v>
      </c>
      <c r="AC1148" s="31">
        <f>ROUND(R1148*1.5%,2)</f>
        <v>23794.3</v>
      </c>
      <c r="AD1148" s="31">
        <v>100000</v>
      </c>
      <c r="AE1148" s="31">
        <v>0</v>
      </c>
      <c r="AF1148" s="34">
        <v>2022</v>
      </c>
      <c r="AG1148" s="34">
        <v>2022</v>
      </c>
      <c r="AH1148" s="35">
        <v>2022</v>
      </c>
      <c r="AT1148" s="20" t="e">
        <f t="shared" si="269"/>
        <v>#N/A</v>
      </c>
      <c r="BZ1148" s="71"/>
    </row>
    <row r="1149" spans="1:80" ht="61.5" x14ac:dyDescent="0.85">
      <c r="A1149" s="20">
        <v>1</v>
      </c>
      <c r="B1149" s="66">
        <f>SUBTOTAL(103,$A$963:A1149)</f>
        <v>161</v>
      </c>
      <c r="C1149" s="177" t="s">
        <v>187</v>
      </c>
      <c r="D1149" s="31">
        <f>E1149+F1149+G1149+H1149+I1149+J1149+L1149+N1149+P1149+R1149+T1149+U1149+V1149+W1149+X1149+Y1149+Z1149+AA1149+AB1149+AC1149+AD1149+AE1149</f>
        <v>1452729.9</v>
      </c>
      <c r="E1149" s="31">
        <v>0</v>
      </c>
      <c r="F1149" s="31">
        <v>0</v>
      </c>
      <c r="G1149" s="31">
        <v>0</v>
      </c>
      <c r="H1149" s="31">
        <v>0</v>
      </c>
      <c r="I1149" s="31">
        <v>0</v>
      </c>
      <c r="J1149" s="31">
        <v>0</v>
      </c>
      <c r="K1149" s="33">
        <v>0</v>
      </c>
      <c r="L1149" s="31">
        <v>0</v>
      </c>
      <c r="M1149" s="31">
        <v>260</v>
      </c>
      <c r="N1149" s="31">
        <v>1313034.3799999999</v>
      </c>
      <c r="O1149" s="31">
        <v>0</v>
      </c>
      <c r="P1149" s="31">
        <v>0</v>
      </c>
      <c r="Q1149" s="31">
        <v>0</v>
      </c>
      <c r="R1149" s="31">
        <v>0</v>
      </c>
      <c r="S1149" s="31">
        <v>0</v>
      </c>
      <c r="T1149" s="31">
        <v>0</v>
      </c>
      <c r="U1149" s="31">
        <v>0</v>
      </c>
      <c r="V1149" s="31">
        <v>0</v>
      </c>
      <c r="W1149" s="31">
        <v>0</v>
      </c>
      <c r="X1149" s="31">
        <v>0</v>
      </c>
      <c r="Y1149" s="31">
        <v>0</v>
      </c>
      <c r="Z1149" s="31">
        <v>0</v>
      </c>
      <c r="AA1149" s="31">
        <v>0</v>
      </c>
      <c r="AB1149" s="31">
        <v>0</v>
      </c>
      <c r="AC1149" s="31">
        <f>ROUND(N1149*1.5%,2)</f>
        <v>19695.52</v>
      </c>
      <c r="AD1149" s="31">
        <v>120000</v>
      </c>
      <c r="AE1149" s="31">
        <v>0</v>
      </c>
      <c r="AF1149" s="34">
        <v>2022</v>
      </c>
      <c r="AG1149" s="34">
        <v>2022</v>
      </c>
      <c r="AH1149" s="35">
        <v>2022</v>
      </c>
      <c r="AT1149" s="20" t="e">
        <f t="shared" si="269"/>
        <v>#N/A</v>
      </c>
      <c r="BZ1149" s="71"/>
    </row>
    <row r="1150" spans="1:80" ht="61.5" x14ac:dyDescent="0.85">
      <c r="A1150" s="20">
        <v>1</v>
      </c>
      <c r="B1150" s="66">
        <f>SUBTOTAL(103,$A$963:A1150)</f>
        <v>162</v>
      </c>
      <c r="C1150" s="177" t="s">
        <v>184</v>
      </c>
      <c r="D1150" s="31">
        <f>E1150+F1150+G1150+H1150+I1150+J1150+L1150+N1150+P1150+R1150+T1150+U1150+V1150+W1150+X1150+Y1150+Z1150+AA1150+AB1150+AC1150+AD1150+AE1150</f>
        <v>1552970.99</v>
      </c>
      <c r="E1150" s="31">
        <v>0</v>
      </c>
      <c r="F1150" s="31">
        <v>0</v>
      </c>
      <c r="G1150" s="31">
        <v>0</v>
      </c>
      <c r="H1150" s="31">
        <v>0</v>
      </c>
      <c r="I1150" s="31">
        <v>0</v>
      </c>
      <c r="J1150" s="31">
        <v>0</v>
      </c>
      <c r="K1150" s="33">
        <v>0</v>
      </c>
      <c r="L1150" s="31">
        <v>0</v>
      </c>
      <c r="M1150" s="31">
        <v>283</v>
      </c>
      <c r="N1150" s="31">
        <v>1411794.08</v>
      </c>
      <c r="O1150" s="31">
        <v>0</v>
      </c>
      <c r="P1150" s="31">
        <v>0</v>
      </c>
      <c r="Q1150" s="31">
        <v>0</v>
      </c>
      <c r="R1150" s="31">
        <v>0</v>
      </c>
      <c r="S1150" s="31">
        <v>0</v>
      </c>
      <c r="T1150" s="31">
        <v>0</v>
      </c>
      <c r="U1150" s="31">
        <v>0</v>
      </c>
      <c r="V1150" s="31">
        <v>0</v>
      </c>
      <c r="W1150" s="31">
        <v>0</v>
      </c>
      <c r="X1150" s="31">
        <v>0</v>
      </c>
      <c r="Y1150" s="31">
        <v>0</v>
      </c>
      <c r="Z1150" s="31">
        <v>0</v>
      </c>
      <c r="AA1150" s="31">
        <v>0</v>
      </c>
      <c r="AB1150" s="31">
        <v>0</v>
      </c>
      <c r="AC1150" s="31">
        <f>ROUND(N1150*1.5%,2)</f>
        <v>21176.91</v>
      </c>
      <c r="AD1150" s="31">
        <v>120000</v>
      </c>
      <c r="AE1150" s="31">
        <v>0</v>
      </c>
      <c r="AF1150" s="34">
        <v>2022</v>
      </c>
      <c r="AG1150" s="34">
        <v>2022</v>
      </c>
      <c r="AH1150" s="35">
        <v>2022</v>
      </c>
      <c r="AT1150" s="20" t="e">
        <f t="shared" si="269"/>
        <v>#N/A</v>
      </c>
      <c r="BZ1150" s="71"/>
    </row>
    <row r="1151" spans="1:80" ht="61.5" x14ac:dyDescent="0.85">
      <c r="B1151" s="24" t="s">
        <v>860</v>
      </c>
      <c r="C1151" s="24"/>
      <c r="D1151" s="31">
        <f>D1152+D1153</f>
        <v>2590114.16</v>
      </c>
      <c r="E1151" s="31">
        <f t="shared" ref="E1151:AE1151" si="271">E1152+E1153</f>
        <v>0</v>
      </c>
      <c r="F1151" s="31">
        <f t="shared" si="271"/>
        <v>0</v>
      </c>
      <c r="G1151" s="31">
        <f t="shared" si="271"/>
        <v>0</v>
      </c>
      <c r="H1151" s="31">
        <f t="shared" si="271"/>
        <v>0</v>
      </c>
      <c r="I1151" s="31">
        <f t="shared" si="271"/>
        <v>0</v>
      </c>
      <c r="J1151" s="31">
        <f t="shared" si="271"/>
        <v>0</v>
      </c>
      <c r="K1151" s="33">
        <f t="shared" si="271"/>
        <v>0</v>
      </c>
      <c r="L1151" s="31">
        <f t="shared" si="271"/>
        <v>0</v>
      </c>
      <c r="M1151" s="31">
        <f t="shared" si="271"/>
        <v>472</v>
      </c>
      <c r="N1151" s="31">
        <f t="shared" si="271"/>
        <v>2315383.41</v>
      </c>
      <c r="O1151" s="31">
        <f t="shared" si="271"/>
        <v>0</v>
      </c>
      <c r="P1151" s="31">
        <f t="shared" si="271"/>
        <v>0</v>
      </c>
      <c r="Q1151" s="31">
        <f t="shared" si="271"/>
        <v>0</v>
      </c>
      <c r="R1151" s="31">
        <f t="shared" si="271"/>
        <v>0</v>
      </c>
      <c r="S1151" s="31">
        <f t="shared" si="271"/>
        <v>0</v>
      </c>
      <c r="T1151" s="31">
        <f t="shared" si="271"/>
        <v>0</v>
      </c>
      <c r="U1151" s="31">
        <f t="shared" si="271"/>
        <v>0</v>
      </c>
      <c r="V1151" s="31">
        <f t="shared" si="271"/>
        <v>0</v>
      </c>
      <c r="W1151" s="31">
        <f t="shared" si="271"/>
        <v>0</v>
      </c>
      <c r="X1151" s="31">
        <f t="shared" si="271"/>
        <v>0</v>
      </c>
      <c r="Y1151" s="31">
        <f t="shared" si="271"/>
        <v>0</v>
      </c>
      <c r="Z1151" s="31">
        <f t="shared" si="271"/>
        <v>0</v>
      </c>
      <c r="AA1151" s="31">
        <f t="shared" si="271"/>
        <v>0</v>
      </c>
      <c r="AB1151" s="31">
        <f t="shared" si="271"/>
        <v>0</v>
      </c>
      <c r="AC1151" s="31">
        <f t="shared" si="271"/>
        <v>34730.75</v>
      </c>
      <c r="AD1151" s="31">
        <f t="shared" si="271"/>
        <v>240000</v>
      </c>
      <c r="AE1151" s="31">
        <f t="shared" si="271"/>
        <v>0</v>
      </c>
      <c r="AF1151" s="130" t="s">
        <v>776</v>
      </c>
      <c r="AG1151" s="130" t="s">
        <v>776</v>
      </c>
      <c r="AH1151" s="131" t="s">
        <v>776</v>
      </c>
      <c r="AT1151" s="20" t="e">
        <f t="shared" si="269"/>
        <v>#N/A</v>
      </c>
      <c r="BZ1151" s="71">
        <v>2590114.16</v>
      </c>
    </row>
    <row r="1152" spans="1:80" ht="61.5" x14ac:dyDescent="0.85">
      <c r="A1152" s="20">
        <v>1</v>
      </c>
      <c r="B1152" s="66">
        <f>SUBTOTAL(103,$A$963:A1152)</f>
        <v>163</v>
      </c>
      <c r="C1152" s="177" t="s">
        <v>1744</v>
      </c>
      <c r="D1152" s="31">
        <f>E1152+F1152+G1152+H1152+I1152+J1152+L1152+N1152+P1152+R1152+T1152+U1152+V1152+W1152+X1152+Y1152+Z1152+AA1152+AB1152+AC1152+AD1152+AE1152</f>
        <v>1262131.9000000001</v>
      </c>
      <c r="E1152" s="31">
        <v>0</v>
      </c>
      <c r="F1152" s="31">
        <v>0</v>
      </c>
      <c r="G1152" s="31">
        <v>0</v>
      </c>
      <c r="H1152" s="31">
        <v>0</v>
      </c>
      <c r="I1152" s="31">
        <v>0</v>
      </c>
      <c r="J1152" s="31">
        <v>0</v>
      </c>
      <c r="K1152" s="33">
        <v>0</v>
      </c>
      <c r="L1152" s="31">
        <v>0</v>
      </c>
      <c r="M1152" s="31">
        <v>230</v>
      </c>
      <c r="N1152" s="31">
        <v>1125253.1000000001</v>
      </c>
      <c r="O1152" s="31">
        <v>0</v>
      </c>
      <c r="P1152" s="31">
        <v>0</v>
      </c>
      <c r="Q1152" s="31">
        <v>0</v>
      </c>
      <c r="R1152" s="31">
        <v>0</v>
      </c>
      <c r="S1152" s="31">
        <v>0</v>
      </c>
      <c r="T1152" s="31">
        <v>0</v>
      </c>
      <c r="U1152" s="31">
        <v>0</v>
      </c>
      <c r="V1152" s="31">
        <v>0</v>
      </c>
      <c r="W1152" s="31">
        <v>0</v>
      </c>
      <c r="X1152" s="31">
        <v>0</v>
      </c>
      <c r="Y1152" s="31">
        <v>0</v>
      </c>
      <c r="Z1152" s="31">
        <v>0</v>
      </c>
      <c r="AA1152" s="31">
        <v>0</v>
      </c>
      <c r="AB1152" s="31">
        <v>0</v>
      </c>
      <c r="AC1152" s="31">
        <f>ROUND(N1152*1.5%,2)</f>
        <v>16878.8</v>
      </c>
      <c r="AD1152" s="31">
        <v>120000</v>
      </c>
      <c r="AE1152" s="31">
        <v>0</v>
      </c>
      <c r="AF1152" s="34">
        <v>2022</v>
      </c>
      <c r="AG1152" s="34">
        <v>2022</v>
      </c>
      <c r="AH1152" s="35">
        <v>2022</v>
      </c>
      <c r="AT1152" s="20" t="e">
        <f t="shared" si="269"/>
        <v>#N/A</v>
      </c>
      <c r="BZ1152" s="71"/>
    </row>
    <row r="1153" spans="1:78" ht="61.5" x14ac:dyDescent="0.85">
      <c r="A1153" s="20">
        <v>1</v>
      </c>
      <c r="B1153" s="66">
        <f>SUBTOTAL(103,$A$963:A1153)</f>
        <v>164</v>
      </c>
      <c r="C1153" s="177" t="s">
        <v>181</v>
      </c>
      <c r="D1153" s="31">
        <f>E1153+F1153+G1153+H1153+I1153+J1153+L1153+N1153+P1153+R1153+T1153+U1153+V1153+W1153+X1153+Y1153+Z1153+AA1153+AB1153+AC1153+AD1153+AE1153</f>
        <v>1327982.26</v>
      </c>
      <c r="E1153" s="31">
        <v>0</v>
      </c>
      <c r="F1153" s="31">
        <v>0</v>
      </c>
      <c r="G1153" s="31">
        <v>0</v>
      </c>
      <c r="H1153" s="31">
        <v>0</v>
      </c>
      <c r="I1153" s="31">
        <v>0</v>
      </c>
      <c r="J1153" s="31">
        <v>0</v>
      </c>
      <c r="K1153" s="33">
        <v>0</v>
      </c>
      <c r="L1153" s="31">
        <v>0</v>
      </c>
      <c r="M1153" s="31">
        <v>242</v>
      </c>
      <c r="N1153" s="31">
        <v>1190130.31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31">
        <v>0</v>
      </c>
      <c r="W1153" s="31">
        <v>0</v>
      </c>
      <c r="X1153" s="31">
        <v>0</v>
      </c>
      <c r="Y1153" s="31">
        <v>0</v>
      </c>
      <c r="Z1153" s="31">
        <v>0</v>
      </c>
      <c r="AA1153" s="31">
        <v>0</v>
      </c>
      <c r="AB1153" s="31">
        <v>0</v>
      </c>
      <c r="AC1153" s="31">
        <f>ROUND(N1153*1.5%,2)</f>
        <v>17851.95</v>
      </c>
      <c r="AD1153" s="31">
        <v>120000</v>
      </c>
      <c r="AE1153" s="31">
        <v>0</v>
      </c>
      <c r="AF1153" s="34">
        <v>2022</v>
      </c>
      <c r="AG1153" s="34">
        <v>2022</v>
      </c>
      <c r="AH1153" s="35">
        <v>2022</v>
      </c>
      <c r="AT1153" s="20" t="e">
        <f t="shared" si="269"/>
        <v>#N/A</v>
      </c>
      <c r="BZ1153" s="71"/>
    </row>
    <row r="1154" spans="1:78" ht="61.5" x14ac:dyDescent="0.85">
      <c r="B1154" s="24" t="s">
        <v>861</v>
      </c>
      <c r="C1154" s="24"/>
      <c r="D1154" s="31">
        <f>D1155</f>
        <v>1456533.11</v>
      </c>
      <c r="E1154" s="31">
        <f t="shared" ref="E1154:AE1154" si="272">E1155</f>
        <v>0</v>
      </c>
      <c r="F1154" s="31">
        <f t="shared" si="272"/>
        <v>0</v>
      </c>
      <c r="G1154" s="31">
        <f t="shared" si="272"/>
        <v>0</v>
      </c>
      <c r="H1154" s="31">
        <f t="shared" si="272"/>
        <v>0</v>
      </c>
      <c r="I1154" s="31">
        <f t="shared" si="272"/>
        <v>0</v>
      </c>
      <c r="J1154" s="31">
        <f t="shared" si="272"/>
        <v>0</v>
      </c>
      <c r="K1154" s="33">
        <f t="shared" si="272"/>
        <v>0</v>
      </c>
      <c r="L1154" s="31">
        <f t="shared" si="272"/>
        <v>0</v>
      </c>
      <c r="M1154" s="31">
        <f t="shared" si="272"/>
        <v>280</v>
      </c>
      <c r="N1154" s="31">
        <f t="shared" si="272"/>
        <v>1356190.26</v>
      </c>
      <c r="O1154" s="31">
        <f t="shared" si="272"/>
        <v>0</v>
      </c>
      <c r="P1154" s="31">
        <f t="shared" si="272"/>
        <v>0</v>
      </c>
      <c r="Q1154" s="31">
        <f t="shared" si="272"/>
        <v>0</v>
      </c>
      <c r="R1154" s="31">
        <f t="shared" si="272"/>
        <v>0</v>
      </c>
      <c r="S1154" s="31">
        <f t="shared" si="272"/>
        <v>0</v>
      </c>
      <c r="T1154" s="31">
        <f t="shared" si="272"/>
        <v>0</v>
      </c>
      <c r="U1154" s="31">
        <f t="shared" si="272"/>
        <v>0</v>
      </c>
      <c r="V1154" s="31">
        <f t="shared" si="272"/>
        <v>0</v>
      </c>
      <c r="W1154" s="31">
        <f t="shared" si="272"/>
        <v>0</v>
      </c>
      <c r="X1154" s="31">
        <f t="shared" si="272"/>
        <v>0</v>
      </c>
      <c r="Y1154" s="31">
        <f t="shared" si="272"/>
        <v>0</v>
      </c>
      <c r="Z1154" s="31">
        <f t="shared" si="272"/>
        <v>0</v>
      </c>
      <c r="AA1154" s="31">
        <f t="shared" si="272"/>
        <v>0</v>
      </c>
      <c r="AB1154" s="31">
        <f t="shared" si="272"/>
        <v>0</v>
      </c>
      <c r="AC1154" s="31">
        <f t="shared" si="272"/>
        <v>20342.849999999999</v>
      </c>
      <c r="AD1154" s="31">
        <f t="shared" si="272"/>
        <v>80000</v>
      </c>
      <c r="AE1154" s="31">
        <f t="shared" si="272"/>
        <v>0</v>
      </c>
      <c r="AF1154" s="130" t="s">
        <v>776</v>
      </c>
      <c r="AG1154" s="130" t="s">
        <v>776</v>
      </c>
      <c r="AH1154" s="131" t="s">
        <v>776</v>
      </c>
      <c r="AT1154" s="20" t="e">
        <f t="shared" si="269"/>
        <v>#N/A</v>
      </c>
      <c r="BZ1154" s="71">
        <v>1456533.11</v>
      </c>
    </row>
    <row r="1155" spans="1:78" ht="61.5" x14ac:dyDescent="0.85">
      <c r="A1155" s="20">
        <v>1</v>
      </c>
      <c r="B1155" s="66">
        <f>SUBTOTAL(103,$A$963:A1155)</f>
        <v>165</v>
      </c>
      <c r="C1155" s="177" t="s">
        <v>818</v>
      </c>
      <c r="D1155" s="31">
        <f>E1155+F1155+G1155+H1155+I1155+J1155+L1155+N1155+P1155+R1155+T1155+U1155+V1155+W1155+X1155+Y1155+Z1155+AA1155+AB1155+AC1155+AD1155+AE1155</f>
        <v>1456533.11</v>
      </c>
      <c r="E1155" s="31">
        <v>0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3">
        <v>0</v>
      </c>
      <c r="L1155" s="31">
        <v>0</v>
      </c>
      <c r="M1155" s="31">
        <v>280</v>
      </c>
      <c r="N1155" s="31">
        <v>1356190.26</v>
      </c>
      <c r="O1155" s="31">
        <v>0</v>
      </c>
      <c r="P1155" s="31">
        <v>0</v>
      </c>
      <c r="Q1155" s="31">
        <v>0</v>
      </c>
      <c r="R1155" s="31">
        <v>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1">
        <v>0</v>
      </c>
      <c r="Y1155" s="31">
        <v>0</v>
      </c>
      <c r="Z1155" s="31">
        <v>0</v>
      </c>
      <c r="AA1155" s="31">
        <v>0</v>
      </c>
      <c r="AB1155" s="31">
        <v>0</v>
      </c>
      <c r="AC1155" s="31">
        <f>ROUND(N1155*1.5%,2)</f>
        <v>20342.849999999999</v>
      </c>
      <c r="AD1155" s="31">
        <v>80000</v>
      </c>
      <c r="AE1155" s="31">
        <v>0</v>
      </c>
      <c r="AF1155" s="34">
        <v>2022</v>
      </c>
      <c r="AG1155" s="34">
        <v>2022</v>
      </c>
      <c r="AH1155" s="35">
        <v>2022</v>
      </c>
      <c r="AT1155" s="20" t="e">
        <f t="shared" si="269"/>
        <v>#N/A</v>
      </c>
      <c r="BZ1155" s="71"/>
    </row>
    <row r="1156" spans="1:78" ht="61.5" x14ac:dyDescent="0.85">
      <c r="B1156" s="24" t="s">
        <v>863</v>
      </c>
      <c r="C1156" s="129"/>
      <c r="D1156" s="31">
        <f>D1157+D1158+D1159</f>
        <v>10290828.25</v>
      </c>
      <c r="E1156" s="31">
        <f t="shared" ref="E1156:AE1156" si="273">E1157+E1158+E1159</f>
        <v>0</v>
      </c>
      <c r="F1156" s="31">
        <f t="shared" si="273"/>
        <v>0</v>
      </c>
      <c r="G1156" s="31">
        <f t="shared" si="273"/>
        <v>0</v>
      </c>
      <c r="H1156" s="31">
        <f t="shared" si="273"/>
        <v>0</v>
      </c>
      <c r="I1156" s="31">
        <f t="shared" si="273"/>
        <v>0</v>
      </c>
      <c r="J1156" s="31">
        <f t="shared" si="273"/>
        <v>0</v>
      </c>
      <c r="K1156" s="33">
        <f t="shared" si="273"/>
        <v>0</v>
      </c>
      <c r="L1156" s="31">
        <f t="shared" si="273"/>
        <v>0</v>
      </c>
      <c r="M1156" s="31">
        <f t="shared" si="273"/>
        <v>1825</v>
      </c>
      <c r="N1156" s="31">
        <f t="shared" si="273"/>
        <v>9695397.290000001</v>
      </c>
      <c r="O1156" s="31">
        <f t="shared" si="273"/>
        <v>0</v>
      </c>
      <c r="P1156" s="31">
        <f t="shared" si="273"/>
        <v>0</v>
      </c>
      <c r="Q1156" s="31">
        <f t="shared" si="273"/>
        <v>0</v>
      </c>
      <c r="R1156" s="31">
        <f t="shared" si="273"/>
        <v>0</v>
      </c>
      <c r="S1156" s="31">
        <f t="shared" si="273"/>
        <v>0</v>
      </c>
      <c r="T1156" s="31">
        <f t="shared" si="273"/>
        <v>0</v>
      </c>
      <c r="U1156" s="31">
        <f t="shared" si="273"/>
        <v>0</v>
      </c>
      <c r="V1156" s="31">
        <f t="shared" si="273"/>
        <v>0</v>
      </c>
      <c r="W1156" s="31">
        <f t="shared" si="273"/>
        <v>0</v>
      </c>
      <c r="X1156" s="31">
        <f t="shared" si="273"/>
        <v>0</v>
      </c>
      <c r="Y1156" s="31">
        <f t="shared" si="273"/>
        <v>0</v>
      </c>
      <c r="Z1156" s="31">
        <f t="shared" si="273"/>
        <v>0</v>
      </c>
      <c r="AA1156" s="31">
        <f t="shared" si="273"/>
        <v>0</v>
      </c>
      <c r="AB1156" s="31">
        <f t="shared" si="273"/>
        <v>0</v>
      </c>
      <c r="AC1156" s="31">
        <f t="shared" si="273"/>
        <v>145430.96</v>
      </c>
      <c r="AD1156" s="31">
        <f t="shared" si="273"/>
        <v>450000</v>
      </c>
      <c r="AE1156" s="31">
        <f t="shared" si="273"/>
        <v>0</v>
      </c>
      <c r="AF1156" s="130" t="s">
        <v>776</v>
      </c>
      <c r="AG1156" s="130" t="s">
        <v>776</v>
      </c>
      <c r="AH1156" s="131" t="s">
        <v>776</v>
      </c>
      <c r="AT1156" s="20" t="e">
        <f t="shared" si="269"/>
        <v>#N/A</v>
      </c>
      <c r="BZ1156" s="71">
        <v>10290828.25</v>
      </c>
    </row>
    <row r="1157" spans="1:78" ht="61.5" x14ac:dyDescent="0.85">
      <c r="A1157" s="20">
        <v>1</v>
      </c>
      <c r="B1157" s="66">
        <f>SUBTOTAL(103,$A$963:A1157)</f>
        <v>166</v>
      </c>
      <c r="C1157" s="177" t="s">
        <v>86</v>
      </c>
      <c r="D1157" s="31">
        <f>E1157+F1157+G1157+H1157+I1157+J1157+L1157+N1157+P1157+R1157+T1157+U1157+V1157+W1157+X1157+Y1157+Z1157+AA1157+AB1157+AC1157+AD1157+AE1157</f>
        <v>3665226.5</v>
      </c>
      <c r="E1157" s="31">
        <v>0</v>
      </c>
      <c r="F1157" s="31">
        <v>0</v>
      </c>
      <c r="G1157" s="31">
        <v>0</v>
      </c>
      <c r="H1157" s="31">
        <v>0</v>
      </c>
      <c r="I1157" s="31">
        <v>0</v>
      </c>
      <c r="J1157" s="31">
        <v>0</v>
      </c>
      <c r="K1157" s="33">
        <v>0</v>
      </c>
      <c r="L1157" s="31">
        <v>0</v>
      </c>
      <c r="M1157" s="31">
        <v>650</v>
      </c>
      <c r="N1157" s="31">
        <v>3463277.34</v>
      </c>
      <c r="O1157" s="31">
        <v>0</v>
      </c>
      <c r="P1157" s="31">
        <v>0</v>
      </c>
      <c r="Q1157" s="31">
        <v>0</v>
      </c>
      <c r="R1157" s="31">
        <v>0</v>
      </c>
      <c r="S1157" s="31">
        <v>0</v>
      </c>
      <c r="T1157" s="31">
        <v>0</v>
      </c>
      <c r="U1157" s="31">
        <v>0</v>
      </c>
      <c r="V1157" s="31">
        <v>0</v>
      </c>
      <c r="W1157" s="31">
        <v>0</v>
      </c>
      <c r="X1157" s="31">
        <v>0</v>
      </c>
      <c r="Y1157" s="31">
        <v>0</v>
      </c>
      <c r="Z1157" s="31">
        <v>0</v>
      </c>
      <c r="AA1157" s="31">
        <v>0</v>
      </c>
      <c r="AB1157" s="31">
        <v>0</v>
      </c>
      <c r="AC1157" s="31">
        <f>ROUND(N1157*1.5%,2)</f>
        <v>51949.16</v>
      </c>
      <c r="AD1157" s="31">
        <v>150000</v>
      </c>
      <c r="AE1157" s="31">
        <v>0</v>
      </c>
      <c r="AF1157" s="34">
        <v>2022</v>
      </c>
      <c r="AG1157" s="34">
        <v>2022</v>
      </c>
      <c r="AH1157" s="35">
        <v>2022</v>
      </c>
      <c r="AT1157" s="20" t="e">
        <f t="shared" si="269"/>
        <v>#N/A</v>
      </c>
      <c r="BZ1157" s="71"/>
    </row>
    <row r="1158" spans="1:78" ht="61.5" x14ac:dyDescent="0.85">
      <c r="A1158" s="20">
        <v>1</v>
      </c>
      <c r="B1158" s="66">
        <f>SUBTOTAL(103,$A$963:A1158)</f>
        <v>167</v>
      </c>
      <c r="C1158" s="177" t="s">
        <v>87</v>
      </c>
      <c r="D1158" s="31">
        <f>E1158+F1158+G1158+H1158+I1158+J1158+L1158+N1158+P1158+R1158+T1158+U1158+V1158+W1158+X1158+Y1158+Z1158+AA1158+AB1158+AC1158+AD1158+AE1158</f>
        <v>3185927.6500000004</v>
      </c>
      <c r="E1158" s="31">
        <v>0</v>
      </c>
      <c r="F1158" s="31">
        <v>0</v>
      </c>
      <c r="G1158" s="31">
        <v>0</v>
      </c>
      <c r="H1158" s="31">
        <v>0</v>
      </c>
      <c r="I1158" s="31">
        <v>0</v>
      </c>
      <c r="J1158" s="31">
        <v>0</v>
      </c>
      <c r="K1158" s="33">
        <v>0</v>
      </c>
      <c r="L1158" s="31">
        <v>0</v>
      </c>
      <c r="M1158" s="31">
        <v>565</v>
      </c>
      <c r="N1158" s="31">
        <v>2991061.72</v>
      </c>
      <c r="O1158" s="31">
        <v>0</v>
      </c>
      <c r="P1158" s="31">
        <v>0</v>
      </c>
      <c r="Q1158" s="31">
        <v>0</v>
      </c>
      <c r="R1158" s="31">
        <v>0</v>
      </c>
      <c r="S1158" s="31">
        <v>0</v>
      </c>
      <c r="T1158" s="31">
        <v>0</v>
      </c>
      <c r="U1158" s="31">
        <v>0</v>
      </c>
      <c r="V1158" s="31">
        <v>0</v>
      </c>
      <c r="W1158" s="31">
        <v>0</v>
      </c>
      <c r="X1158" s="31">
        <v>0</v>
      </c>
      <c r="Y1158" s="31">
        <v>0</v>
      </c>
      <c r="Z1158" s="31">
        <v>0</v>
      </c>
      <c r="AA1158" s="31">
        <v>0</v>
      </c>
      <c r="AB1158" s="31">
        <v>0</v>
      </c>
      <c r="AC1158" s="31">
        <f>ROUND(N1158*1.5%,2)</f>
        <v>44865.93</v>
      </c>
      <c r="AD1158" s="31">
        <v>150000</v>
      </c>
      <c r="AE1158" s="31">
        <v>0</v>
      </c>
      <c r="AF1158" s="34">
        <v>2022</v>
      </c>
      <c r="AG1158" s="34">
        <v>2022</v>
      </c>
      <c r="AH1158" s="35">
        <v>2022</v>
      </c>
      <c r="AT1158" s="20" t="e">
        <f t="shared" si="269"/>
        <v>#N/A</v>
      </c>
      <c r="BZ1158" s="71"/>
    </row>
    <row r="1159" spans="1:78" ht="61.5" x14ac:dyDescent="0.85">
      <c r="A1159" s="20">
        <v>1</v>
      </c>
      <c r="B1159" s="66">
        <f>SUBTOTAL(103,$A$963:A1159)</f>
        <v>168</v>
      </c>
      <c r="C1159" s="177" t="s">
        <v>85</v>
      </c>
      <c r="D1159" s="31">
        <f>E1159+F1159+G1159+H1159+I1159+J1159+L1159+N1159+P1159+R1159+T1159+U1159+V1159+W1159+X1159+Y1159+Z1159+AA1159+AB1159+AC1159+AD1159+AE1159</f>
        <v>3439674.1</v>
      </c>
      <c r="E1159" s="31">
        <v>0</v>
      </c>
      <c r="F1159" s="31">
        <v>0</v>
      </c>
      <c r="G1159" s="31">
        <v>0</v>
      </c>
      <c r="H1159" s="31">
        <v>0</v>
      </c>
      <c r="I1159" s="31">
        <v>0</v>
      </c>
      <c r="J1159" s="31">
        <v>0</v>
      </c>
      <c r="K1159" s="33">
        <v>0</v>
      </c>
      <c r="L1159" s="31">
        <v>0</v>
      </c>
      <c r="M1159" s="31">
        <v>610</v>
      </c>
      <c r="N1159" s="31">
        <v>3241058.23</v>
      </c>
      <c r="O1159" s="31">
        <v>0</v>
      </c>
      <c r="P1159" s="31">
        <v>0</v>
      </c>
      <c r="Q1159" s="31">
        <v>0</v>
      </c>
      <c r="R1159" s="31">
        <v>0</v>
      </c>
      <c r="S1159" s="31">
        <v>0</v>
      </c>
      <c r="T1159" s="31">
        <v>0</v>
      </c>
      <c r="U1159" s="31">
        <v>0</v>
      </c>
      <c r="V1159" s="31">
        <v>0</v>
      </c>
      <c r="W1159" s="31">
        <v>0</v>
      </c>
      <c r="X1159" s="31">
        <v>0</v>
      </c>
      <c r="Y1159" s="31">
        <v>0</v>
      </c>
      <c r="Z1159" s="31">
        <v>0</v>
      </c>
      <c r="AA1159" s="31">
        <v>0</v>
      </c>
      <c r="AB1159" s="31">
        <v>0</v>
      </c>
      <c r="AC1159" s="31">
        <f>ROUND(N1159*1.5%,2)</f>
        <v>48615.87</v>
      </c>
      <c r="AD1159" s="31">
        <v>150000</v>
      </c>
      <c r="AE1159" s="31">
        <v>0</v>
      </c>
      <c r="AF1159" s="34">
        <v>2022</v>
      </c>
      <c r="AG1159" s="34">
        <v>2022</v>
      </c>
      <c r="AH1159" s="35">
        <v>2022</v>
      </c>
      <c r="AT1159" s="20" t="e">
        <f t="shared" si="269"/>
        <v>#N/A</v>
      </c>
      <c r="BZ1159" s="71"/>
    </row>
    <row r="1160" spans="1:78" ht="61.5" x14ac:dyDescent="0.85">
      <c r="B1160" s="24" t="s">
        <v>864</v>
      </c>
      <c r="C1160" s="24"/>
      <c r="D1160" s="31">
        <f>D1161</f>
        <v>3013803.8600000003</v>
      </c>
      <c r="E1160" s="31">
        <f t="shared" ref="E1160:AE1160" si="274">E1161</f>
        <v>0</v>
      </c>
      <c r="F1160" s="31">
        <f t="shared" si="274"/>
        <v>0</v>
      </c>
      <c r="G1160" s="31">
        <f t="shared" si="274"/>
        <v>0</v>
      </c>
      <c r="H1160" s="31">
        <f t="shared" si="274"/>
        <v>0</v>
      </c>
      <c r="I1160" s="31">
        <f t="shared" si="274"/>
        <v>0</v>
      </c>
      <c r="J1160" s="31">
        <f t="shared" si="274"/>
        <v>0</v>
      </c>
      <c r="K1160" s="33">
        <f t="shared" si="274"/>
        <v>0</v>
      </c>
      <c r="L1160" s="31">
        <f t="shared" si="274"/>
        <v>0</v>
      </c>
      <c r="M1160" s="31">
        <f t="shared" si="274"/>
        <v>586</v>
      </c>
      <c r="N1160" s="31">
        <f t="shared" si="274"/>
        <v>2821481.64</v>
      </c>
      <c r="O1160" s="31">
        <f t="shared" si="274"/>
        <v>0</v>
      </c>
      <c r="P1160" s="31">
        <f t="shared" si="274"/>
        <v>0</v>
      </c>
      <c r="Q1160" s="31">
        <f t="shared" si="274"/>
        <v>0</v>
      </c>
      <c r="R1160" s="31">
        <f t="shared" si="274"/>
        <v>0</v>
      </c>
      <c r="S1160" s="31">
        <f t="shared" si="274"/>
        <v>0</v>
      </c>
      <c r="T1160" s="31">
        <f t="shared" si="274"/>
        <v>0</v>
      </c>
      <c r="U1160" s="31">
        <f t="shared" si="274"/>
        <v>0</v>
      </c>
      <c r="V1160" s="31">
        <f t="shared" si="274"/>
        <v>0</v>
      </c>
      <c r="W1160" s="31">
        <f t="shared" si="274"/>
        <v>0</v>
      </c>
      <c r="X1160" s="31">
        <f t="shared" si="274"/>
        <v>0</v>
      </c>
      <c r="Y1160" s="31">
        <f t="shared" si="274"/>
        <v>0</v>
      </c>
      <c r="Z1160" s="31">
        <f t="shared" si="274"/>
        <v>0</v>
      </c>
      <c r="AA1160" s="31">
        <f t="shared" si="274"/>
        <v>0</v>
      </c>
      <c r="AB1160" s="31">
        <f t="shared" si="274"/>
        <v>0</v>
      </c>
      <c r="AC1160" s="31">
        <f t="shared" si="274"/>
        <v>42322.22</v>
      </c>
      <c r="AD1160" s="31">
        <f t="shared" si="274"/>
        <v>150000</v>
      </c>
      <c r="AE1160" s="31">
        <f t="shared" si="274"/>
        <v>0</v>
      </c>
      <c r="AF1160" s="130" t="s">
        <v>776</v>
      </c>
      <c r="AG1160" s="130" t="s">
        <v>776</v>
      </c>
      <c r="AH1160" s="131" t="s">
        <v>776</v>
      </c>
      <c r="AT1160" s="20" t="e">
        <f t="shared" si="269"/>
        <v>#N/A</v>
      </c>
      <c r="BZ1160" s="71">
        <v>3013803.8600000003</v>
      </c>
    </row>
    <row r="1161" spans="1:78" ht="61.5" x14ac:dyDescent="0.85">
      <c r="A1161" s="20">
        <v>1</v>
      </c>
      <c r="B1161" s="66">
        <f>SUBTOTAL(103,$A$963:A1161)</f>
        <v>169</v>
      </c>
      <c r="C1161" s="177" t="s">
        <v>89</v>
      </c>
      <c r="D1161" s="31">
        <f>E1161+F1161+G1161+H1161+I1161+J1161+L1161+N1161+P1161+R1161+T1161+U1161+V1161+W1161+X1161+Y1161+Z1161+AA1161+AB1161+AC1161+AD1161+AE1161</f>
        <v>3013803.8600000003</v>
      </c>
      <c r="E1161" s="31">
        <v>0</v>
      </c>
      <c r="F1161" s="31">
        <v>0</v>
      </c>
      <c r="G1161" s="31">
        <v>0</v>
      </c>
      <c r="H1161" s="31">
        <v>0</v>
      </c>
      <c r="I1161" s="31">
        <v>0</v>
      </c>
      <c r="J1161" s="31">
        <v>0</v>
      </c>
      <c r="K1161" s="33">
        <v>0</v>
      </c>
      <c r="L1161" s="31">
        <v>0</v>
      </c>
      <c r="M1161" s="31">
        <v>586</v>
      </c>
      <c r="N1161" s="31">
        <v>2821481.64</v>
      </c>
      <c r="O1161" s="31">
        <v>0</v>
      </c>
      <c r="P1161" s="31">
        <v>0</v>
      </c>
      <c r="Q1161" s="31">
        <v>0</v>
      </c>
      <c r="R1161" s="31">
        <v>0</v>
      </c>
      <c r="S1161" s="31">
        <v>0</v>
      </c>
      <c r="T1161" s="31">
        <v>0</v>
      </c>
      <c r="U1161" s="31">
        <v>0</v>
      </c>
      <c r="V1161" s="31">
        <v>0</v>
      </c>
      <c r="W1161" s="31">
        <v>0</v>
      </c>
      <c r="X1161" s="31">
        <v>0</v>
      </c>
      <c r="Y1161" s="31">
        <v>0</v>
      </c>
      <c r="Z1161" s="31">
        <v>0</v>
      </c>
      <c r="AA1161" s="31">
        <v>0</v>
      </c>
      <c r="AB1161" s="31">
        <v>0</v>
      </c>
      <c r="AC1161" s="31">
        <f>ROUND(N1161*1.5%,2)</f>
        <v>42322.22</v>
      </c>
      <c r="AD1161" s="31">
        <v>150000</v>
      </c>
      <c r="AE1161" s="31">
        <v>0</v>
      </c>
      <c r="AF1161" s="34">
        <v>2022</v>
      </c>
      <c r="AG1161" s="34">
        <v>2022</v>
      </c>
      <c r="AH1161" s="35">
        <v>2022</v>
      </c>
      <c r="AT1161" s="20" t="e">
        <f t="shared" si="269"/>
        <v>#N/A</v>
      </c>
      <c r="BZ1161" s="71"/>
    </row>
    <row r="1162" spans="1:78" ht="61.5" x14ac:dyDescent="0.85">
      <c r="B1162" s="24" t="s">
        <v>913</v>
      </c>
      <c r="C1162" s="24"/>
      <c r="D1162" s="31">
        <f>D1163</f>
        <v>2036502</v>
      </c>
      <c r="E1162" s="31">
        <f t="shared" ref="E1162:AE1162" si="275">E1163</f>
        <v>0</v>
      </c>
      <c r="F1162" s="31">
        <f t="shared" si="275"/>
        <v>0</v>
      </c>
      <c r="G1162" s="31">
        <f t="shared" si="275"/>
        <v>0</v>
      </c>
      <c r="H1162" s="31">
        <f t="shared" si="275"/>
        <v>0</v>
      </c>
      <c r="I1162" s="31">
        <f t="shared" si="275"/>
        <v>0</v>
      </c>
      <c r="J1162" s="31">
        <f t="shared" si="275"/>
        <v>0</v>
      </c>
      <c r="K1162" s="33">
        <f t="shared" si="275"/>
        <v>0</v>
      </c>
      <c r="L1162" s="31">
        <f t="shared" si="275"/>
        <v>0</v>
      </c>
      <c r="M1162" s="31">
        <f t="shared" si="275"/>
        <v>390</v>
      </c>
      <c r="N1162" s="31">
        <f t="shared" si="275"/>
        <v>1888179.31</v>
      </c>
      <c r="O1162" s="31">
        <f t="shared" si="275"/>
        <v>0</v>
      </c>
      <c r="P1162" s="31">
        <f t="shared" si="275"/>
        <v>0</v>
      </c>
      <c r="Q1162" s="31">
        <f t="shared" si="275"/>
        <v>0</v>
      </c>
      <c r="R1162" s="31">
        <f t="shared" si="275"/>
        <v>0</v>
      </c>
      <c r="S1162" s="31">
        <f t="shared" si="275"/>
        <v>0</v>
      </c>
      <c r="T1162" s="31">
        <f t="shared" si="275"/>
        <v>0</v>
      </c>
      <c r="U1162" s="31">
        <f t="shared" si="275"/>
        <v>0</v>
      </c>
      <c r="V1162" s="31">
        <f t="shared" si="275"/>
        <v>0</v>
      </c>
      <c r="W1162" s="31">
        <f t="shared" si="275"/>
        <v>0</v>
      </c>
      <c r="X1162" s="31">
        <f t="shared" si="275"/>
        <v>0</v>
      </c>
      <c r="Y1162" s="31">
        <f t="shared" si="275"/>
        <v>0</v>
      </c>
      <c r="Z1162" s="31">
        <f t="shared" si="275"/>
        <v>0</v>
      </c>
      <c r="AA1162" s="31">
        <f t="shared" si="275"/>
        <v>0</v>
      </c>
      <c r="AB1162" s="31">
        <f t="shared" si="275"/>
        <v>0</v>
      </c>
      <c r="AC1162" s="31">
        <f t="shared" si="275"/>
        <v>28322.69</v>
      </c>
      <c r="AD1162" s="31">
        <f t="shared" si="275"/>
        <v>120000</v>
      </c>
      <c r="AE1162" s="31">
        <f t="shared" si="275"/>
        <v>0</v>
      </c>
      <c r="AF1162" s="130" t="s">
        <v>776</v>
      </c>
      <c r="AG1162" s="130" t="s">
        <v>776</v>
      </c>
      <c r="AH1162" s="131" t="s">
        <v>776</v>
      </c>
      <c r="AT1162" s="20" t="e">
        <f t="shared" si="269"/>
        <v>#N/A</v>
      </c>
      <c r="BZ1162" s="71">
        <v>2036502</v>
      </c>
    </row>
    <row r="1163" spans="1:78" ht="61.5" x14ac:dyDescent="0.85">
      <c r="A1163" s="20">
        <v>1</v>
      </c>
      <c r="B1163" s="66">
        <f>SUBTOTAL(103,$A$963:A1163)</f>
        <v>170</v>
      </c>
      <c r="C1163" s="177" t="s">
        <v>88</v>
      </c>
      <c r="D1163" s="31">
        <f>E1163+F1163+G1163+H1163+I1163+J1163+L1163+N1163+P1163+R1163+T1163+U1163+V1163+W1163+X1163+Y1163+Z1163+AA1163+AB1163+AC1163+AD1163+AE1163</f>
        <v>2036502</v>
      </c>
      <c r="E1163" s="31">
        <v>0</v>
      </c>
      <c r="F1163" s="31">
        <v>0</v>
      </c>
      <c r="G1163" s="31">
        <v>0</v>
      </c>
      <c r="H1163" s="31">
        <v>0</v>
      </c>
      <c r="I1163" s="31">
        <v>0</v>
      </c>
      <c r="J1163" s="31">
        <v>0</v>
      </c>
      <c r="K1163" s="33">
        <v>0</v>
      </c>
      <c r="L1163" s="31">
        <v>0</v>
      </c>
      <c r="M1163" s="31">
        <v>390</v>
      </c>
      <c r="N1163" s="31">
        <v>1888179.31</v>
      </c>
      <c r="O1163" s="31">
        <v>0</v>
      </c>
      <c r="P1163" s="31">
        <v>0</v>
      </c>
      <c r="Q1163" s="31">
        <v>0</v>
      </c>
      <c r="R1163" s="31">
        <v>0</v>
      </c>
      <c r="S1163" s="31">
        <v>0</v>
      </c>
      <c r="T1163" s="31">
        <v>0</v>
      </c>
      <c r="U1163" s="31">
        <v>0</v>
      </c>
      <c r="V1163" s="31">
        <v>0</v>
      </c>
      <c r="W1163" s="31">
        <v>0</v>
      </c>
      <c r="X1163" s="31">
        <v>0</v>
      </c>
      <c r="Y1163" s="31">
        <v>0</v>
      </c>
      <c r="Z1163" s="31">
        <v>0</v>
      </c>
      <c r="AA1163" s="31">
        <v>0</v>
      </c>
      <c r="AB1163" s="31">
        <v>0</v>
      </c>
      <c r="AC1163" s="31">
        <f>ROUND(N1163*1.5%,2)</f>
        <v>28322.69</v>
      </c>
      <c r="AD1163" s="31">
        <v>120000</v>
      </c>
      <c r="AE1163" s="31">
        <v>0</v>
      </c>
      <c r="AF1163" s="34">
        <v>2022</v>
      </c>
      <c r="AG1163" s="34">
        <v>2022</v>
      </c>
      <c r="AH1163" s="35">
        <v>2022</v>
      </c>
      <c r="AT1163" s="20" t="e">
        <f t="shared" si="269"/>
        <v>#N/A</v>
      </c>
      <c r="BZ1163" s="71"/>
    </row>
    <row r="1164" spans="1:78" ht="61.5" x14ac:dyDescent="0.85">
      <c r="B1164" s="24" t="s">
        <v>865</v>
      </c>
      <c r="C1164" s="129"/>
      <c r="D1164" s="31">
        <f>D1165</f>
        <v>3592598.4</v>
      </c>
      <c r="E1164" s="31">
        <f t="shared" ref="E1164:AE1164" si="276">E1165</f>
        <v>0</v>
      </c>
      <c r="F1164" s="31">
        <f t="shared" si="276"/>
        <v>0</v>
      </c>
      <c r="G1164" s="31">
        <f t="shared" si="276"/>
        <v>0</v>
      </c>
      <c r="H1164" s="31">
        <f t="shared" si="276"/>
        <v>0</v>
      </c>
      <c r="I1164" s="31">
        <f t="shared" si="276"/>
        <v>0</v>
      </c>
      <c r="J1164" s="31">
        <f t="shared" si="276"/>
        <v>0</v>
      </c>
      <c r="K1164" s="33">
        <f t="shared" si="276"/>
        <v>0</v>
      </c>
      <c r="L1164" s="31">
        <f t="shared" si="276"/>
        <v>0</v>
      </c>
      <c r="M1164" s="31">
        <f t="shared" si="276"/>
        <v>688</v>
      </c>
      <c r="N1164" s="31">
        <f t="shared" si="276"/>
        <v>3391722.56</v>
      </c>
      <c r="O1164" s="31">
        <f t="shared" si="276"/>
        <v>0</v>
      </c>
      <c r="P1164" s="31">
        <f t="shared" si="276"/>
        <v>0</v>
      </c>
      <c r="Q1164" s="31">
        <f t="shared" si="276"/>
        <v>0</v>
      </c>
      <c r="R1164" s="31">
        <f t="shared" si="276"/>
        <v>0</v>
      </c>
      <c r="S1164" s="31">
        <f t="shared" si="276"/>
        <v>0</v>
      </c>
      <c r="T1164" s="31">
        <f t="shared" si="276"/>
        <v>0</v>
      </c>
      <c r="U1164" s="31">
        <f t="shared" si="276"/>
        <v>0</v>
      </c>
      <c r="V1164" s="31">
        <f t="shared" si="276"/>
        <v>0</v>
      </c>
      <c r="W1164" s="31">
        <f t="shared" si="276"/>
        <v>0</v>
      </c>
      <c r="X1164" s="31">
        <f t="shared" si="276"/>
        <v>0</v>
      </c>
      <c r="Y1164" s="31">
        <f t="shared" si="276"/>
        <v>0</v>
      </c>
      <c r="Z1164" s="31">
        <f t="shared" si="276"/>
        <v>0</v>
      </c>
      <c r="AA1164" s="31">
        <f t="shared" si="276"/>
        <v>0</v>
      </c>
      <c r="AB1164" s="31">
        <f t="shared" si="276"/>
        <v>0</v>
      </c>
      <c r="AC1164" s="31">
        <f t="shared" si="276"/>
        <v>50875.839999999997</v>
      </c>
      <c r="AD1164" s="31">
        <f t="shared" si="276"/>
        <v>150000</v>
      </c>
      <c r="AE1164" s="31">
        <f t="shared" si="276"/>
        <v>0</v>
      </c>
      <c r="AF1164" s="130" t="s">
        <v>776</v>
      </c>
      <c r="AG1164" s="130" t="s">
        <v>776</v>
      </c>
      <c r="AH1164" s="131" t="s">
        <v>776</v>
      </c>
      <c r="AT1164" s="20" t="e">
        <f t="shared" si="269"/>
        <v>#N/A</v>
      </c>
      <c r="BZ1164" s="71">
        <v>3592598.4</v>
      </c>
    </row>
    <row r="1165" spans="1:78" ht="61.5" x14ac:dyDescent="0.85">
      <c r="A1165" s="20">
        <v>1</v>
      </c>
      <c r="B1165" s="66">
        <f>SUBTOTAL(103,$A$963:A1165)</f>
        <v>171</v>
      </c>
      <c r="C1165" s="177" t="s">
        <v>109</v>
      </c>
      <c r="D1165" s="31">
        <f>E1165+F1165+G1165+H1165+I1165+J1165+L1165+N1165+P1165+R1165+T1165+U1165+V1165+W1165+X1165+Y1165+Z1165+AA1165+AB1165+AC1165+AD1165+AE1165</f>
        <v>3592598.4</v>
      </c>
      <c r="E1165" s="31">
        <v>0</v>
      </c>
      <c r="F1165" s="31">
        <v>0</v>
      </c>
      <c r="G1165" s="31">
        <v>0</v>
      </c>
      <c r="H1165" s="31">
        <v>0</v>
      </c>
      <c r="I1165" s="31">
        <v>0</v>
      </c>
      <c r="J1165" s="31">
        <v>0</v>
      </c>
      <c r="K1165" s="33">
        <v>0</v>
      </c>
      <c r="L1165" s="31">
        <v>0</v>
      </c>
      <c r="M1165" s="31">
        <v>688</v>
      </c>
      <c r="N1165" s="31">
        <v>3391722.56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0</v>
      </c>
      <c r="U1165" s="31">
        <v>0</v>
      </c>
      <c r="V1165" s="31">
        <v>0</v>
      </c>
      <c r="W1165" s="31">
        <v>0</v>
      </c>
      <c r="X1165" s="31">
        <v>0</v>
      </c>
      <c r="Y1165" s="31">
        <v>0</v>
      </c>
      <c r="Z1165" s="31">
        <v>0</v>
      </c>
      <c r="AA1165" s="31">
        <v>0</v>
      </c>
      <c r="AB1165" s="31">
        <v>0</v>
      </c>
      <c r="AC1165" s="31">
        <f>ROUND(N1165*1.5%,2)</f>
        <v>50875.839999999997</v>
      </c>
      <c r="AD1165" s="31">
        <v>150000</v>
      </c>
      <c r="AE1165" s="31">
        <v>0</v>
      </c>
      <c r="AF1165" s="34">
        <v>2022</v>
      </c>
      <c r="AG1165" s="34">
        <v>2022</v>
      </c>
      <c r="AH1165" s="35">
        <v>2022</v>
      </c>
      <c r="AT1165" s="20" t="e">
        <f t="shared" si="269"/>
        <v>#N/A</v>
      </c>
      <c r="BZ1165" s="71"/>
    </row>
    <row r="1166" spans="1:78" ht="61.5" x14ac:dyDescent="0.85">
      <c r="B1166" s="24" t="s">
        <v>900</v>
      </c>
      <c r="C1166" s="24"/>
      <c r="D1166" s="31">
        <f>D1167</f>
        <v>4454195.3999999994</v>
      </c>
      <c r="E1166" s="31">
        <f t="shared" ref="E1166:AE1166" si="277">E1167</f>
        <v>0</v>
      </c>
      <c r="F1166" s="31">
        <f t="shared" si="277"/>
        <v>0</v>
      </c>
      <c r="G1166" s="31">
        <f t="shared" si="277"/>
        <v>0</v>
      </c>
      <c r="H1166" s="31">
        <f t="shared" si="277"/>
        <v>0</v>
      </c>
      <c r="I1166" s="31">
        <f t="shared" si="277"/>
        <v>0</v>
      </c>
      <c r="J1166" s="31">
        <f t="shared" si="277"/>
        <v>0</v>
      </c>
      <c r="K1166" s="33">
        <f t="shared" si="277"/>
        <v>0</v>
      </c>
      <c r="L1166" s="31">
        <f t="shared" si="277"/>
        <v>0</v>
      </c>
      <c r="M1166" s="31">
        <f t="shared" si="277"/>
        <v>853</v>
      </c>
      <c r="N1166" s="31">
        <f t="shared" si="277"/>
        <v>4240586.5999999996</v>
      </c>
      <c r="O1166" s="31">
        <f t="shared" si="277"/>
        <v>0</v>
      </c>
      <c r="P1166" s="31">
        <f t="shared" si="277"/>
        <v>0</v>
      </c>
      <c r="Q1166" s="31">
        <f t="shared" si="277"/>
        <v>0</v>
      </c>
      <c r="R1166" s="31">
        <f t="shared" si="277"/>
        <v>0</v>
      </c>
      <c r="S1166" s="31">
        <f t="shared" si="277"/>
        <v>0</v>
      </c>
      <c r="T1166" s="31">
        <f t="shared" si="277"/>
        <v>0</v>
      </c>
      <c r="U1166" s="31">
        <f t="shared" si="277"/>
        <v>0</v>
      </c>
      <c r="V1166" s="31">
        <f t="shared" si="277"/>
        <v>0</v>
      </c>
      <c r="W1166" s="31">
        <f t="shared" si="277"/>
        <v>0</v>
      </c>
      <c r="X1166" s="31">
        <f t="shared" si="277"/>
        <v>0</v>
      </c>
      <c r="Y1166" s="31">
        <f t="shared" si="277"/>
        <v>0</v>
      </c>
      <c r="Z1166" s="31">
        <f t="shared" si="277"/>
        <v>0</v>
      </c>
      <c r="AA1166" s="31">
        <f t="shared" si="277"/>
        <v>0</v>
      </c>
      <c r="AB1166" s="31">
        <f t="shared" si="277"/>
        <v>0</v>
      </c>
      <c r="AC1166" s="31">
        <f t="shared" si="277"/>
        <v>63608.800000000003</v>
      </c>
      <c r="AD1166" s="31">
        <f t="shared" si="277"/>
        <v>150000</v>
      </c>
      <c r="AE1166" s="31">
        <f t="shared" si="277"/>
        <v>0</v>
      </c>
      <c r="AF1166" s="130" t="s">
        <v>776</v>
      </c>
      <c r="AG1166" s="130" t="s">
        <v>776</v>
      </c>
      <c r="AH1166" s="131" t="s">
        <v>776</v>
      </c>
      <c r="AT1166" s="20" t="e">
        <f t="shared" si="269"/>
        <v>#N/A</v>
      </c>
      <c r="BZ1166" s="71">
        <v>4454195.3999999994</v>
      </c>
    </row>
    <row r="1167" spans="1:78" ht="61.5" x14ac:dyDescent="0.85">
      <c r="A1167" s="20">
        <v>1</v>
      </c>
      <c r="B1167" s="66">
        <f>SUBTOTAL(103,$A$963:A1167)</f>
        <v>172</v>
      </c>
      <c r="C1167" s="177" t="s">
        <v>111</v>
      </c>
      <c r="D1167" s="31">
        <f>E1167+F1167+G1167+H1167+I1167+J1167+L1167+N1167+P1167+R1167+T1167+U1167+V1167+W1167+X1167+Y1167+Z1167+AA1167+AB1167+AC1167+AD1167+AE1167</f>
        <v>4454195.3999999994</v>
      </c>
      <c r="E1167" s="31">
        <v>0</v>
      </c>
      <c r="F1167" s="31">
        <v>0</v>
      </c>
      <c r="G1167" s="31">
        <v>0</v>
      </c>
      <c r="H1167" s="31">
        <v>0</v>
      </c>
      <c r="I1167" s="31">
        <v>0</v>
      </c>
      <c r="J1167" s="31">
        <v>0</v>
      </c>
      <c r="K1167" s="33">
        <v>0</v>
      </c>
      <c r="L1167" s="31">
        <v>0</v>
      </c>
      <c r="M1167" s="31">
        <v>853</v>
      </c>
      <c r="N1167" s="31">
        <v>4240586.5999999996</v>
      </c>
      <c r="O1167" s="31">
        <v>0</v>
      </c>
      <c r="P1167" s="31">
        <v>0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1">
        <v>0</v>
      </c>
      <c r="X1167" s="31">
        <v>0</v>
      </c>
      <c r="Y1167" s="31">
        <v>0</v>
      </c>
      <c r="Z1167" s="31">
        <v>0</v>
      </c>
      <c r="AA1167" s="31">
        <v>0</v>
      </c>
      <c r="AB1167" s="31">
        <v>0</v>
      </c>
      <c r="AC1167" s="31">
        <f>ROUND(N1167*1.5%,2)</f>
        <v>63608.800000000003</v>
      </c>
      <c r="AD1167" s="31">
        <v>150000</v>
      </c>
      <c r="AE1167" s="31">
        <v>0</v>
      </c>
      <c r="AF1167" s="34">
        <v>2022</v>
      </c>
      <c r="AG1167" s="34">
        <v>2022</v>
      </c>
      <c r="AH1167" s="35">
        <v>2022</v>
      </c>
      <c r="AT1167" s="20" t="e">
        <f t="shared" si="269"/>
        <v>#N/A</v>
      </c>
      <c r="BZ1167" s="71"/>
    </row>
    <row r="1168" spans="1:78" ht="61.5" x14ac:dyDescent="0.85">
      <c r="B1168" s="24" t="s">
        <v>914</v>
      </c>
      <c r="C1168" s="129"/>
      <c r="D1168" s="31">
        <f>D1169</f>
        <v>5304624.57</v>
      </c>
      <c r="E1168" s="31">
        <f t="shared" ref="E1168:AE1168" si="278">E1169</f>
        <v>0</v>
      </c>
      <c r="F1168" s="31">
        <f t="shared" si="278"/>
        <v>0</v>
      </c>
      <c r="G1168" s="31">
        <f t="shared" si="278"/>
        <v>0</v>
      </c>
      <c r="H1168" s="31">
        <f t="shared" si="278"/>
        <v>0</v>
      </c>
      <c r="I1168" s="31">
        <f t="shared" si="278"/>
        <v>0</v>
      </c>
      <c r="J1168" s="31">
        <f t="shared" si="278"/>
        <v>0</v>
      </c>
      <c r="K1168" s="33">
        <f t="shared" si="278"/>
        <v>0</v>
      </c>
      <c r="L1168" s="31">
        <f t="shared" si="278"/>
        <v>0</v>
      </c>
      <c r="M1168" s="31">
        <f t="shared" si="278"/>
        <v>926.83</v>
      </c>
      <c r="N1168" s="31">
        <f t="shared" si="278"/>
        <v>5078447.8500000006</v>
      </c>
      <c r="O1168" s="31">
        <f t="shared" si="278"/>
        <v>0</v>
      </c>
      <c r="P1168" s="31">
        <f t="shared" si="278"/>
        <v>0</v>
      </c>
      <c r="Q1168" s="31">
        <f t="shared" si="278"/>
        <v>0</v>
      </c>
      <c r="R1168" s="31">
        <f t="shared" si="278"/>
        <v>0</v>
      </c>
      <c r="S1168" s="31">
        <f t="shared" si="278"/>
        <v>0</v>
      </c>
      <c r="T1168" s="31">
        <f t="shared" si="278"/>
        <v>0</v>
      </c>
      <c r="U1168" s="31">
        <f t="shared" si="278"/>
        <v>0</v>
      </c>
      <c r="V1168" s="31">
        <f t="shared" si="278"/>
        <v>0</v>
      </c>
      <c r="W1168" s="31">
        <f t="shared" si="278"/>
        <v>0</v>
      </c>
      <c r="X1168" s="31">
        <f t="shared" si="278"/>
        <v>0</v>
      </c>
      <c r="Y1168" s="31">
        <f t="shared" si="278"/>
        <v>0</v>
      </c>
      <c r="Z1168" s="31">
        <f t="shared" si="278"/>
        <v>0</v>
      </c>
      <c r="AA1168" s="31">
        <f t="shared" si="278"/>
        <v>0</v>
      </c>
      <c r="AB1168" s="31">
        <f t="shared" si="278"/>
        <v>0</v>
      </c>
      <c r="AC1168" s="31">
        <f t="shared" si="278"/>
        <v>76176.72</v>
      </c>
      <c r="AD1168" s="31">
        <f t="shared" si="278"/>
        <v>150000</v>
      </c>
      <c r="AE1168" s="31">
        <f t="shared" si="278"/>
        <v>0</v>
      </c>
      <c r="AF1168" s="130" t="s">
        <v>776</v>
      </c>
      <c r="AG1168" s="130" t="s">
        <v>776</v>
      </c>
      <c r="AH1168" s="131" t="s">
        <v>776</v>
      </c>
      <c r="AT1168" s="20" t="e">
        <f t="shared" si="269"/>
        <v>#N/A</v>
      </c>
      <c r="BZ1168" s="71">
        <v>4839701.7600000007</v>
      </c>
    </row>
    <row r="1169" spans="1:78" ht="61.5" x14ac:dyDescent="0.85">
      <c r="A1169" s="20">
        <v>1</v>
      </c>
      <c r="B1169" s="66">
        <f>SUBTOTAL(103,$A$963:A1169)</f>
        <v>173</v>
      </c>
      <c r="C1169" s="177" t="s">
        <v>215</v>
      </c>
      <c r="D1169" s="31">
        <f>E1169+F1169+G1169+H1169+I1169+J1169+L1169+N1169+P1169+R1169+T1169+U1169+V1169+W1169+X1169+Y1169+Z1169+AA1169+AB1169+AC1169+AD1169+AE1169</f>
        <v>5304624.57</v>
      </c>
      <c r="E1169" s="31">
        <v>0</v>
      </c>
      <c r="F1169" s="31">
        <v>0</v>
      </c>
      <c r="G1169" s="31">
        <v>0</v>
      </c>
      <c r="H1169" s="31">
        <v>0</v>
      </c>
      <c r="I1169" s="31">
        <v>0</v>
      </c>
      <c r="J1169" s="31">
        <v>0</v>
      </c>
      <c r="K1169" s="33">
        <v>0</v>
      </c>
      <c r="L1169" s="31">
        <v>0</v>
      </c>
      <c r="M1169" s="31">
        <v>926.83</v>
      </c>
      <c r="N1169" s="31">
        <f>4620395.82+ROUND(464922.81/101.5*100,2)</f>
        <v>5078447.8500000006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0</v>
      </c>
      <c r="U1169" s="31">
        <v>0</v>
      </c>
      <c r="V1169" s="31">
        <v>0</v>
      </c>
      <c r="W1169" s="31">
        <v>0</v>
      </c>
      <c r="X1169" s="31">
        <v>0</v>
      </c>
      <c r="Y1169" s="31">
        <v>0</v>
      </c>
      <c r="Z1169" s="31">
        <v>0</v>
      </c>
      <c r="AA1169" s="31">
        <v>0</v>
      </c>
      <c r="AB1169" s="31">
        <v>0</v>
      </c>
      <c r="AC1169" s="31">
        <f>ROUND(N1169*1.5%,2)</f>
        <v>76176.72</v>
      </c>
      <c r="AD1169" s="31">
        <v>150000</v>
      </c>
      <c r="AE1169" s="31">
        <v>0</v>
      </c>
      <c r="AF1169" s="34">
        <v>2022</v>
      </c>
      <c r="AG1169" s="34">
        <v>2022</v>
      </c>
      <c r="AH1169" s="35">
        <v>2022</v>
      </c>
      <c r="AT1169" s="20" t="e">
        <f t="shared" si="269"/>
        <v>#N/A</v>
      </c>
      <c r="BZ1169" s="71"/>
    </row>
    <row r="1170" spans="1:78" ht="61.5" x14ac:dyDescent="0.85">
      <c r="B1170" s="24" t="s">
        <v>866</v>
      </c>
      <c r="C1170" s="129"/>
      <c r="D1170" s="31">
        <f>D1171</f>
        <v>3231458.3</v>
      </c>
      <c r="E1170" s="31">
        <f t="shared" ref="E1170:AE1170" si="279">E1171</f>
        <v>0</v>
      </c>
      <c r="F1170" s="31">
        <f t="shared" si="279"/>
        <v>0</v>
      </c>
      <c r="G1170" s="31">
        <f t="shared" si="279"/>
        <v>0</v>
      </c>
      <c r="H1170" s="31">
        <f t="shared" si="279"/>
        <v>0</v>
      </c>
      <c r="I1170" s="31">
        <f t="shared" si="279"/>
        <v>0</v>
      </c>
      <c r="J1170" s="31">
        <f t="shared" si="279"/>
        <v>0</v>
      </c>
      <c r="K1170" s="33">
        <f t="shared" si="279"/>
        <v>0</v>
      </c>
      <c r="L1170" s="31">
        <f t="shared" si="279"/>
        <v>0</v>
      </c>
      <c r="M1170" s="31">
        <f t="shared" si="279"/>
        <v>670.8</v>
      </c>
      <c r="N1170" s="31">
        <f t="shared" si="279"/>
        <v>3035919.51</v>
      </c>
      <c r="O1170" s="31">
        <f t="shared" si="279"/>
        <v>0</v>
      </c>
      <c r="P1170" s="31">
        <f t="shared" si="279"/>
        <v>0</v>
      </c>
      <c r="Q1170" s="31">
        <f t="shared" si="279"/>
        <v>0</v>
      </c>
      <c r="R1170" s="31">
        <f t="shared" si="279"/>
        <v>0</v>
      </c>
      <c r="S1170" s="31">
        <f t="shared" si="279"/>
        <v>0</v>
      </c>
      <c r="T1170" s="31">
        <f t="shared" si="279"/>
        <v>0</v>
      </c>
      <c r="U1170" s="31">
        <f t="shared" si="279"/>
        <v>0</v>
      </c>
      <c r="V1170" s="31">
        <f t="shared" si="279"/>
        <v>0</v>
      </c>
      <c r="W1170" s="31">
        <f t="shared" si="279"/>
        <v>0</v>
      </c>
      <c r="X1170" s="31">
        <f t="shared" si="279"/>
        <v>0</v>
      </c>
      <c r="Y1170" s="31">
        <f t="shared" si="279"/>
        <v>0</v>
      </c>
      <c r="Z1170" s="31">
        <f t="shared" si="279"/>
        <v>0</v>
      </c>
      <c r="AA1170" s="31">
        <f t="shared" si="279"/>
        <v>0</v>
      </c>
      <c r="AB1170" s="31">
        <f t="shared" si="279"/>
        <v>0</v>
      </c>
      <c r="AC1170" s="31">
        <f t="shared" si="279"/>
        <v>45538.79</v>
      </c>
      <c r="AD1170" s="31">
        <f t="shared" si="279"/>
        <v>150000</v>
      </c>
      <c r="AE1170" s="31">
        <f t="shared" si="279"/>
        <v>0</v>
      </c>
      <c r="AF1170" s="130" t="s">
        <v>776</v>
      </c>
      <c r="AG1170" s="130" t="s">
        <v>776</v>
      </c>
      <c r="AH1170" s="131" t="s">
        <v>776</v>
      </c>
      <c r="AT1170" s="20" t="e">
        <f t="shared" si="269"/>
        <v>#N/A</v>
      </c>
      <c r="BZ1170" s="71">
        <v>3231458.3</v>
      </c>
    </row>
    <row r="1171" spans="1:78" ht="61.5" x14ac:dyDescent="0.85">
      <c r="A1171" s="20">
        <v>1</v>
      </c>
      <c r="B1171" s="66">
        <f>SUBTOTAL(103,$A$963:A1171)</f>
        <v>174</v>
      </c>
      <c r="C1171" s="177" t="s">
        <v>66</v>
      </c>
      <c r="D1171" s="31">
        <f>E1171+F1171+G1171+H1171+I1171+J1171+L1171+N1171+P1171+R1171+T1171+U1171+V1171+W1171+X1171+Y1171+Z1171+AA1171+AB1171+AC1171+AD1171+AE1171</f>
        <v>3231458.3</v>
      </c>
      <c r="E1171" s="31">
        <v>0</v>
      </c>
      <c r="F1171" s="31">
        <v>0</v>
      </c>
      <c r="G1171" s="31">
        <v>0</v>
      </c>
      <c r="H1171" s="31">
        <v>0</v>
      </c>
      <c r="I1171" s="31">
        <v>0</v>
      </c>
      <c r="J1171" s="31">
        <v>0</v>
      </c>
      <c r="K1171" s="33">
        <v>0</v>
      </c>
      <c r="L1171" s="31">
        <v>0</v>
      </c>
      <c r="M1171" s="31">
        <v>670.8</v>
      </c>
      <c r="N1171" s="31">
        <v>3035919.51</v>
      </c>
      <c r="O1171" s="31">
        <v>0</v>
      </c>
      <c r="P1171" s="31">
        <v>0</v>
      </c>
      <c r="Q1171" s="31">
        <v>0</v>
      </c>
      <c r="R1171" s="31">
        <v>0</v>
      </c>
      <c r="S1171" s="31">
        <v>0</v>
      </c>
      <c r="T1171" s="31">
        <v>0</v>
      </c>
      <c r="U1171" s="31">
        <v>0</v>
      </c>
      <c r="V1171" s="31">
        <v>0</v>
      </c>
      <c r="W1171" s="31">
        <v>0</v>
      </c>
      <c r="X1171" s="31">
        <v>0</v>
      </c>
      <c r="Y1171" s="31">
        <v>0</v>
      </c>
      <c r="Z1171" s="31">
        <v>0</v>
      </c>
      <c r="AA1171" s="31">
        <v>0</v>
      </c>
      <c r="AB1171" s="31">
        <v>0</v>
      </c>
      <c r="AC1171" s="31">
        <f>ROUND(N1171*1.5%,2)</f>
        <v>45538.79</v>
      </c>
      <c r="AD1171" s="31">
        <v>150000</v>
      </c>
      <c r="AE1171" s="31">
        <v>0</v>
      </c>
      <c r="AF1171" s="34">
        <v>2022</v>
      </c>
      <c r="AG1171" s="34">
        <v>2022</v>
      </c>
      <c r="AH1171" s="35">
        <v>2022</v>
      </c>
      <c r="AT1171" s="20" t="e">
        <f t="shared" si="269"/>
        <v>#N/A</v>
      </c>
      <c r="BZ1171" s="71"/>
    </row>
    <row r="1172" spans="1:78" ht="61.5" x14ac:dyDescent="0.85">
      <c r="B1172" s="24" t="s">
        <v>868</v>
      </c>
      <c r="C1172" s="24"/>
      <c r="D1172" s="31">
        <f>D1173+D1174+D1175</f>
        <v>16849360.93</v>
      </c>
      <c r="E1172" s="31">
        <f t="shared" ref="E1172:AE1172" si="280">E1173+E1174+E1175</f>
        <v>451170.83</v>
      </c>
      <c r="F1172" s="31">
        <f t="shared" si="280"/>
        <v>885201.84</v>
      </c>
      <c r="G1172" s="31">
        <f t="shared" si="280"/>
        <v>1880858.0000000002</v>
      </c>
      <c r="H1172" s="31">
        <f t="shared" si="280"/>
        <v>667182.5</v>
      </c>
      <c r="I1172" s="31">
        <f t="shared" si="280"/>
        <v>0</v>
      </c>
      <c r="J1172" s="31">
        <f t="shared" si="280"/>
        <v>0</v>
      </c>
      <c r="K1172" s="33">
        <f t="shared" si="280"/>
        <v>0</v>
      </c>
      <c r="L1172" s="31">
        <f t="shared" si="280"/>
        <v>0</v>
      </c>
      <c r="M1172" s="31">
        <f t="shared" si="280"/>
        <v>2286.5</v>
      </c>
      <c r="N1172" s="31">
        <f t="shared" si="280"/>
        <v>12065696.120000001</v>
      </c>
      <c r="O1172" s="31">
        <f t="shared" si="280"/>
        <v>0</v>
      </c>
      <c r="P1172" s="31">
        <f t="shared" si="280"/>
        <v>0</v>
      </c>
      <c r="Q1172" s="31">
        <f t="shared" si="280"/>
        <v>0</v>
      </c>
      <c r="R1172" s="31">
        <f t="shared" si="280"/>
        <v>0</v>
      </c>
      <c r="S1172" s="31">
        <f t="shared" si="280"/>
        <v>0</v>
      </c>
      <c r="T1172" s="31">
        <f t="shared" si="280"/>
        <v>0</v>
      </c>
      <c r="U1172" s="31">
        <f t="shared" si="280"/>
        <v>0</v>
      </c>
      <c r="V1172" s="31">
        <f t="shared" si="280"/>
        <v>0</v>
      </c>
      <c r="W1172" s="31">
        <f t="shared" si="280"/>
        <v>0</v>
      </c>
      <c r="X1172" s="31">
        <f t="shared" si="280"/>
        <v>0</v>
      </c>
      <c r="Y1172" s="31">
        <f t="shared" si="280"/>
        <v>0</v>
      </c>
      <c r="Z1172" s="31">
        <f t="shared" si="280"/>
        <v>0</v>
      </c>
      <c r="AA1172" s="31">
        <f t="shared" si="280"/>
        <v>0</v>
      </c>
      <c r="AB1172" s="31">
        <f t="shared" si="280"/>
        <v>0</v>
      </c>
      <c r="AC1172" s="31">
        <f t="shared" si="280"/>
        <v>239251.64</v>
      </c>
      <c r="AD1172" s="31">
        <f t="shared" si="280"/>
        <v>660000</v>
      </c>
      <c r="AE1172" s="31">
        <f t="shared" si="280"/>
        <v>0</v>
      </c>
      <c r="AF1172" s="130" t="s">
        <v>776</v>
      </c>
      <c r="AG1172" s="130" t="s">
        <v>776</v>
      </c>
      <c r="AH1172" s="131" t="s">
        <v>776</v>
      </c>
      <c r="AT1172" s="20" t="e">
        <f t="shared" si="269"/>
        <v>#N/A</v>
      </c>
      <c r="BZ1172" s="71">
        <v>16849360.93</v>
      </c>
    </row>
    <row r="1173" spans="1:78" ht="61.5" x14ac:dyDescent="0.85">
      <c r="A1173" s="20">
        <v>1</v>
      </c>
      <c r="B1173" s="66">
        <f>SUBTOTAL(103,$A$963:A1173)</f>
        <v>175</v>
      </c>
      <c r="C1173" s="177" t="s">
        <v>69</v>
      </c>
      <c r="D1173" s="31">
        <f>E1173+F1173+G1173+H1173+I1173+J1173+L1173+N1173+P1173+R1173+T1173+U1173+V1173+W1173+X1173+Y1173+Z1173+AA1173+AB1173+AC1173+AD1173+AE1173</f>
        <v>5782944.25</v>
      </c>
      <c r="E1173" s="31">
        <v>0</v>
      </c>
      <c r="F1173" s="31">
        <v>0</v>
      </c>
      <c r="G1173" s="31">
        <v>0</v>
      </c>
      <c r="H1173" s="31">
        <v>0</v>
      </c>
      <c r="I1173" s="31">
        <v>0</v>
      </c>
      <c r="J1173" s="31">
        <v>0</v>
      </c>
      <c r="K1173" s="33">
        <v>0</v>
      </c>
      <c r="L1173" s="31">
        <v>0</v>
      </c>
      <c r="M1173" s="31">
        <v>1047.5999999999999</v>
      </c>
      <c r="N1173" s="31">
        <v>5520142.1200000001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0</v>
      </c>
      <c r="U1173" s="31">
        <v>0</v>
      </c>
      <c r="V1173" s="31">
        <v>0</v>
      </c>
      <c r="W1173" s="31">
        <v>0</v>
      </c>
      <c r="X1173" s="31">
        <v>0</v>
      </c>
      <c r="Y1173" s="31">
        <v>0</v>
      </c>
      <c r="Z1173" s="31">
        <v>0</v>
      </c>
      <c r="AA1173" s="31">
        <v>0</v>
      </c>
      <c r="AB1173" s="31">
        <v>0</v>
      </c>
      <c r="AC1173" s="31">
        <f>ROUND(N1173*1.5%,2)</f>
        <v>82802.13</v>
      </c>
      <c r="AD1173" s="31">
        <v>180000</v>
      </c>
      <c r="AE1173" s="31">
        <v>0</v>
      </c>
      <c r="AF1173" s="34">
        <v>2022</v>
      </c>
      <c r="AG1173" s="34">
        <v>2022</v>
      </c>
      <c r="AH1173" s="35">
        <v>2022</v>
      </c>
      <c r="AT1173" s="20" t="e">
        <f t="shared" si="269"/>
        <v>#N/A</v>
      </c>
      <c r="BZ1173" s="71"/>
    </row>
    <row r="1174" spans="1:78" ht="61.5" x14ac:dyDescent="0.85">
      <c r="A1174" s="20">
        <v>1</v>
      </c>
      <c r="B1174" s="66">
        <f>SUBTOTAL(103,$A$963:A1174)</f>
        <v>176</v>
      </c>
      <c r="C1174" s="177" t="s">
        <v>68</v>
      </c>
      <c r="D1174" s="31">
        <f>E1174+F1174+G1174+H1174+I1174+J1174+L1174+N1174+P1174+R1174+T1174+U1174+V1174+W1174+X1174+Y1174+Z1174+AA1174+AB1174+AC1174+AD1174+AE1174</f>
        <v>6823737.3099999996</v>
      </c>
      <c r="E1174" s="31">
        <v>0</v>
      </c>
      <c r="F1174" s="31">
        <v>0</v>
      </c>
      <c r="G1174" s="31">
        <v>0</v>
      </c>
      <c r="H1174" s="31">
        <v>0</v>
      </c>
      <c r="I1174" s="31">
        <v>0</v>
      </c>
      <c r="J1174" s="31">
        <v>0</v>
      </c>
      <c r="K1174" s="33">
        <v>0</v>
      </c>
      <c r="L1174" s="31">
        <v>0</v>
      </c>
      <c r="M1174" s="31">
        <v>1238.9000000000001</v>
      </c>
      <c r="N1174" s="31">
        <v>6545554</v>
      </c>
      <c r="O1174" s="31">
        <v>0</v>
      </c>
      <c r="P1174" s="31">
        <v>0</v>
      </c>
      <c r="Q1174" s="31">
        <v>0</v>
      </c>
      <c r="R1174" s="31">
        <v>0</v>
      </c>
      <c r="S1174" s="31">
        <v>0</v>
      </c>
      <c r="T1174" s="31">
        <v>0</v>
      </c>
      <c r="U1174" s="31">
        <v>0</v>
      </c>
      <c r="V1174" s="31">
        <v>0</v>
      </c>
      <c r="W1174" s="31">
        <v>0</v>
      </c>
      <c r="X1174" s="31">
        <v>0</v>
      </c>
      <c r="Y1174" s="31">
        <v>0</v>
      </c>
      <c r="Z1174" s="31">
        <v>0</v>
      </c>
      <c r="AA1174" s="31">
        <v>0</v>
      </c>
      <c r="AB1174" s="31">
        <v>0</v>
      </c>
      <c r="AC1174" s="31">
        <f>ROUND(N1174*1.5%,2)</f>
        <v>98183.31</v>
      </c>
      <c r="AD1174" s="31">
        <v>180000</v>
      </c>
      <c r="AE1174" s="31">
        <v>0</v>
      </c>
      <c r="AF1174" s="34">
        <v>2022</v>
      </c>
      <c r="AG1174" s="34">
        <v>2022</v>
      </c>
      <c r="AH1174" s="35">
        <v>2022</v>
      </c>
      <c r="AT1174" s="20" t="e">
        <f t="shared" si="269"/>
        <v>#N/A</v>
      </c>
      <c r="BZ1174" s="71"/>
    </row>
    <row r="1175" spans="1:78" ht="61.5" x14ac:dyDescent="0.85">
      <c r="A1175" s="20">
        <v>1</v>
      </c>
      <c r="B1175" s="66">
        <f>SUBTOTAL(103,$A$963:A1175)</f>
        <v>177</v>
      </c>
      <c r="C1175" s="177" t="s">
        <v>67</v>
      </c>
      <c r="D1175" s="31">
        <f>E1175+F1175+G1175+H1175+I1175+J1175+L1175+N1175+P1175+R1175+T1175+U1175+V1175+W1175+X1175+Y1175+Z1175+AA1175+AB1175+AC1175+AD1175+AE1175</f>
        <v>4242679.37</v>
      </c>
      <c r="E1175" s="31">
        <v>451170.83</v>
      </c>
      <c r="F1175" s="31">
        <v>885201.84</v>
      </c>
      <c r="G1175" s="31">
        <v>1880858.0000000002</v>
      </c>
      <c r="H1175" s="31">
        <v>667182.5</v>
      </c>
      <c r="I1175" s="31">
        <v>0</v>
      </c>
      <c r="J1175" s="31">
        <v>0</v>
      </c>
      <c r="K1175" s="33">
        <v>0</v>
      </c>
      <c r="L1175" s="31">
        <v>0</v>
      </c>
      <c r="M1175" s="31">
        <v>0</v>
      </c>
      <c r="N1175" s="31">
        <v>0</v>
      </c>
      <c r="O1175" s="31">
        <v>0</v>
      </c>
      <c r="P1175" s="31">
        <v>0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1">
        <v>0</v>
      </c>
      <c r="Y1175" s="31">
        <v>0</v>
      </c>
      <c r="Z1175" s="31">
        <v>0</v>
      </c>
      <c r="AA1175" s="31">
        <v>0</v>
      </c>
      <c r="AB1175" s="31">
        <v>0</v>
      </c>
      <c r="AC1175" s="31">
        <f>ROUND((E1175+F1175+G1175+H1175+I1175+J1175)*1.5%,2)</f>
        <v>58266.2</v>
      </c>
      <c r="AD1175" s="31">
        <v>300000</v>
      </c>
      <c r="AE1175" s="31">
        <v>0</v>
      </c>
      <c r="AF1175" s="34">
        <v>2022</v>
      </c>
      <c r="AG1175" s="34">
        <v>2022</v>
      </c>
      <c r="AH1175" s="35">
        <v>2022</v>
      </c>
      <c r="AT1175" s="20" t="e">
        <f t="shared" si="269"/>
        <v>#N/A</v>
      </c>
      <c r="BZ1175" s="71"/>
    </row>
    <row r="1176" spans="1:78" ht="61.5" x14ac:dyDescent="0.85">
      <c r="B1176" s="24" t="s">
        <v>869</v>
      </c>
      <c r="C1176" s="24"/>
      <c r="D1176" s="31">
        <f>D1177</f>
        <v>2872957.67</v>
      </c>
      <c r="E1176" s="31">
        <f t="shared" ref="E1176:AE1176" si="281">E1177</f>
        <v>0</v>
      </c>
      <c r="F1176" s="31">
        <f t="shared" si="281"/>
        <v>0</v>
      </c>
      <c r="G1176" s="31">
        <f t="shared" si="281"/>
        <v>0</v>
      </c>
      <c r="H1176" s="31">
        <f t="shared" si="281"/>
        <v>0</v>
      </c>
      <c r="I1176" s="31">
        <f t="shared" si="281"/>
        <v>0</v>
      </c>
      <c r="J1176" s="31">
        <f t="shared" si="281"/>
        <v>0</v>
      </c>
      <c r="K1176" s="33">
        <f t="shared" si="281"/>
        <v>0</v>
      </c>
      <c r="L1176" s="31">
        <f t="shared" si="281"/>
        <v>0</v>
      </c>
      <c r="M1176" s="31">
        <f t="shared" si="281"/>
        <v>0</v>
      </c>
      <c r="N1176" s="31">
        <f t="shared" si="281"/>
        <v>0</v>
      </c>
      <c r="O1176" s="31">
        <f t="shared" si="281"/>
        <v>0</v>
      </c>
      <c r="P1176" s="31">
        <f t="shared" si="281"/>
        <v>0</v>
      </c>
      <c r="Q1176" s="31">
        <f t="shared" si="281"/>
        <v>0</v>
      </c>
      <c r="R1176" s="31">
        <f t="shared" si="281"/>
        <v>0</v>
      </c>
      <c r="S1176" s="31">
        <f t="shared" si="281"/>
        <v>72.77</v>
      </c>
      <c r="T1176" s="31">
        <f t="shared" si="281"/>
        <v>2682716.92</v>
      </c>
      <c r="U1176" s="31">
        <f t="shared" si="281"/>
        <v>0</v>
      </c>
      <c r="V1176" s="31">
        <f t="shared" si="281"/>
        <v>0</v>
      </c>
      <c r="W1176" s="31">
        <f t="shared" si="281"/>
        <v>0</v>
      </c>
      <c r="X1176" s="31">
        <f t="shared" si="281"/>
        <v>0</v>
      </c>
      <c r="Y1176" s="31">
        <f t="shared" si="281"/>
        <v>0</v>
      </c>
      <c r="Z1176" s="31">
        <f t="shared" si="281"/>
        <v>0</v>
      </c>
      <c r="AA1176" s="31">
        <f t="shared" si="281"/>
        <v>0</v>
      </c>
      <c r="AB1176" s="31">
        <f t="shared" si="281"/>
        <v>0</v>
      </c>
      <c r="AC1176" s="31">
        <f t="shared" si="281"/>
        <v>40240.75</v>
      </c>
      <c r="AD1176" s="31">
        <f t="shared" si="281"/>
        <v>150000</v>
      </c>
      <c r="AE1176" s="31">
        <f t="shared" si="281"/>
        <v>0</v>
      </c>
      <c r="AF1176" s="130" t="s">
        <v>776</v>
      </c>
      <c r="AG1176" s="130" t="s">
        <v>776</v>
      </c>
      <c r="AH1176" s="131" t="s">
        <v>776</v>
      </c>
      <c r="AT1176" s="20" t="e">
        <f t="shared" si="269"/>
        <v>#N/A</v>
      </c>
      <c r="BZ1176" s="71">
        <v>3799734.79</v>
      </c>
    </row>
    <row r="1177" spans="1:78" ht="61.5" x14ac:dyDescent="0.85">
      <c r="A1177" s="20">
        <v>1</v>
      </c>
      <c r="B1177" s="66">
        <f>SUBTOTAL(103,$A$963:A1177)</f>
        <v>178</v>
      </c>
      <c r="C1177" s="177" t="s">
        <v>65</v>
      </c>
      <c r="D1177" s="31">
        <f>E1177+F1177+G1177+H1177+I1177+J1177+L1177+N1177+P1177+R1177+T1177+U1177+V1177+W1177+X1177+Y1177+Z1177+AA1177+AB1177+AC1177+AD1177+AE1177</f>
        <v>2872957.67</v>
      </c>
      <c r="E1177" s="31">
        <v>0</v>
      </c>
      <c r="F1177" s="31">
        <v>0</v>
      </c>
      <c r="G1177" s="31">
        <v>0</v>
      </c>
      <c r="H1177" s="31">
        <v>0</v>
      </c>
      <c r="I1177" s="31">
        <v>0</v>
      </c>
      <c r="J1177" s="31">
        <v>0</v>
      </c>
      <c r="K1177" s="33">
        <v>0</v>
      </c>
      <c r="L1177" s="31">
        <v>0</v>
      </c>
      <c r="M1177" s="31">
        <v>0</v>
      </c>
      <c r="N1177" s="31">
        <v>0</v>
      </c>
      <c r="O1177" s="31">
        <v>0</v>
      </c>
      <c r="P1177" s="31">
        <v>0</v>
      </c>
      <c r="Q1177" s="31">
        <v>0</v>
      </c>
      <c r="R1177" s="31">
        <v>0</v>
      </c>
      <c r="S1177" s="31">
        <v>72.77</v>
      </c>
      <c r="T1177" s="31">
        <f>3595797.82-913080.9</f>
        <v>2682716.92</v>
      </c>
      <c r="U1177" s="31">
        <v>0</v>
      </c>
      <c r="V1177" s="31">
        <v>0</v>
      </c>
      <c r="W1177" s="31">
        <v>0</v>
      </c>
      <c r="X1177" s="31">
        <v>0</v>
      </c>
      <c r="Y1177" s="31">
        <v>0</v>
      </c>
      <c r="Z1177" s="31">
        <v>0</v>
      </c>
      <c r="AA1177" s="31">
        <v>0</v>
      </c>
      <c r="AB1177" s="31">
        <v>0</v>
      </c>
      <c r="AC1177" s="31">
        <f>ROUND(T1177*1.5%,2)</f>
        <v>40240.75</v>
      </c>
      <c r="AD1177" s="31">
        <v>150000</v>
      </c>
      <c r="AE1177" s="31">
        <v>0</v>
      </c>
      <c r="AF1177" s="34">
        <v>2022</v>
      </c>
      <c r="AG1177" s="34">
        <v>2022</v>
      </c>
      <c r="AH1177" s="35">
        <v>2022</v>
      </c>
      <c r="AT1177" s="20" t="e">
        <f t="shared" si="269"/>
        <v>#N/A</v>
      </c>
      <c r="BZ1177" s="71"/>
    </row>
    <row r="1178" spans="1:78" ht="61.5" x14ac:dyDescent="0.85">
      <c r="B1178" s="24" t="s">
        <v>870</v>
      </c>
      <c r="C1178" s="24"/>
      <c r="D1178" s="31">
        <f>D1179</f>
        <v>2311215.4500000002</v>
      </c>
      <c r="E1178" s="31">
        <f t="shared" ref="E1178:AE1178" si="282">E1179</f>
        <v>0</v>
      </c>
      <c r="F1178" s="31">
        <f t="shared" si="282"/>
        <v>0</v>
      </c>
      <c r="G1178" s="31">
        <f t="shared" si="282"/>
        <v>0</v>
      </c>
      <c r="H1178" s="31">
        <f t="shared" si="282"/>
        <v>0</v>
      </c>
      <c r="I1178" s="31">
        <f t="shared" si="282"/>
        <v>0</v>
      </c>
      <c r="J1178" s="31">
        <f t="shared" si="282"/>
        <v>0</v>
      </c>
      <c r="K1178" s="33">
        <f t="shared" si="282"/>
        <v>0</v>
      </c>
      <c r="L1178" s="31">
        <f t="shared" si="282"/>
        <v>0</v>
      </c>
      <c r="M1178" s="31">
        <f t="shared" si="282"/>
        <v>470</v>
      </c>
      <c r="N1178" s="31">
        <f t="shared" si="282"/>
        <v>2158832.96</v>
      </c>
      <c r="O1178" s="31">
        <f t="shared" si="282"/>
        <v>0</v>
      </c>
      <c r="P1178" s="31">
        <f t="shared" si="282"/>
        <v>0</v>
      </c>
      <c r="Q1178" s="31">
        <f t="shared" si="282"/>
        <v>0</v>
      </c>
      <c r="R1178" s="31">
        <f t="shared" si="282"/>
        <v>0</v>
      </c>
      <c r="S1178" s="31">
        <f t="shared" si="282"/>
        <v>0</v>
      </c>
      <c r="T1178" s="31">
        <f t="shared" si="282"/>
        <v>0</v>
      </c>
      <c r="U1178" s="31">
        <f t="shared" si="282"/>
        <v>0</v>
      </c>
      <c r="V1178" s="31">
        <f t="shared" si="282"/>
        <v>0</v>
      </c>
      <c r="W1178" s="31">
        <f t="shared" si="282"/>
        <v>0</v>
      </c>
      <c r="X1178" s="31">
        <f t="shared" si="282"/>
        <v>0</v>
      </c>
      <c r="Y1178" s="31">
        <f t="shared" si="282"/>
        <v>0</v>
      </c>
      <c r="Z1178" s="31">
        <f t="shared" si="282"/>
        <v>0</v>
      </c>
      <c r="AA1178" s="31">
        <f t="shared" si="282"/>
        <v>0</v>
      </c>
      <c r="AB1178" s="31">
        <f t="shared" si="282"/>
        <v>0</v>
      </c>
      <c r="AC1178" s="31">
        <f t="shared" si="282"/>
        <v>32382.49</v>
      </c>
      <c r="AD1178" s="31">
        <f t="shared" si="282"/>
        <v>120000</v>
      </c>
      <c r="AE1178" s="31">
        <f t="shared" si="282"/>
        <v>0</v>
      </c>
      <c r="AF1178" s="130" t="s">
        <v>776</v>
      </c>
      <c r="AG1178" s="130" t="s">
        <v>776</v>
      </c>
      <c r="AH1178" s="131" t="s">
        <v>776</v>
      </c>
      <c r="AT1178" s="20" t="e">
        <f t="shared" si="269"/>
        <v>#N/A</v>
      </c>
      <c r="BZ1178" s="71">
        <v>2311215.4500000002</v>
      </c>
    </row>
    <row r="1179" spans="1:78" ht="61.5" x14ac:dyDescent="0.85">
      <c r="A1179" s="20">
        <v>1</v>
      </c>
      <c r="B1179" s="66">
        <f>SUBTOTAL(103,$A$963:A1179)</f>
        <v>179</v>
      </c>
      <c r="C1179" s="177" t="s">
        <v>64</v>
      </c>
      <c r="D1179" s="31">
        <f>E1179+F1179+G1179+H1179+I1179+J1179+L1179+N1179+P1179+R1179+T1179+U1179+V1179+W1179+X1179+Y1179+Z1179+AA1179+AB1179+AC1179+AD1179+AE1179</f>
        <v>2311215.4500000002</v>
      </c>
      <c r="E1179" s="31">
        <v>0</v>
      </c>
      <c r="F1179" s="31">
        <v>0</v>
      </c>
      <c r="G1179" s="31">
        <v>0</v>
      </c>
      <c r="H1179" s="31">
        <v>0</v>
      </c>
      <c r="I1179" s="31">
        <v>0</v>
      </c>
      <c r="J1179" s="31">
        <v>0</v>
      </c>
      <c r="K1179" s="33">
        <v>0</v>
      </c>
      <c r="L1179" s="31">
        <v>0</v>
      </c>
      <c r="M1179" s="31">
        <v>470</v>
      </c>
      <c r="N1179" s="31">
        <v>2158832.96</v>
      </c>
      <c r="O1179" s="31">
        <v>0</v>
      </c>
      <c r="P1179" s="31">
        <v>0</v>
      </c>
      <c r="Q1179" s="31">
        <v>0</v>
      </c>
      <c r="R1179" s="31">
        <v>0</v>
      </c>
      <c r="S1179" s="31">
        <v>0</v>
      </c>
      <c r="T1179" s="31">
        <v>0</v>
      </c>
      <c r="U1179" s="31">
        <v>0</v>
      </c>
      <c r="V1179" s="31">
        <v>0</v>
      </c>
      <c r="W1179" s="31">
        <v>0</v>
      </c>
      <c r="X1179" s="31">
        <v>0</v>
      </c>
      <c r="Y1179" s="31">
        <v>0</v>
      </c>
      <c r="Z1179" s="31">
        <v>0</v>
      </c>
      <c r="AA1179" s="31">
        <v>0</v>
      </c>
      <c r="AB1179" s="31">
        <v>0</v>
      </c>
      <c r="AC1179" s="31">
        <f>ROUND(N1179*1.5%,2)</f>
        <v>32382.49</v>
      </c>
      <c r="AD1179" s="31">
        <v>120000</v>
      </c>
      <c r="AE1179" s="31">
        <v>0</v>
      </c>
      <c r="AF1179" s="34">
        <v>2022</v>
      </c>
      <c r="AG1179" s="34">
        <v>2022</v>
      </c>
      <c r="AH1179" s="35">
        <v>2022</v>
      </c>
      <c r="AT1179" s="20" t="e">
        <f t="shared" si="269"/>
        <v>#N/A</v>
      </c>
      <c r="BZ1179" s="71"/>
    </row>
    <row r="1180" spans="1:78" ht="61.5" x14ac:dyDescent="0.85">
      <c r="B1180" s="24" t="s">
        <v>908</v>
      </c>
      <c r="C1180" s="24"/>
      <c r="D1180" s="31">
        <f>D1181</f>
        <v>3215375.5700000003</v>
      </c>
      <c r="E1180" s="31">
        <f t="shared" ref="E1180:AE1180" si="283">E1181</f>
        <v>0</v>
      </c>
      <c r="F1180" s="31">
        <f t="shared" si="283"/>
        <v>0</v>
      </c>
      <c r="G1180" s="31">
        <f t="shared" si="283"/>
        <v>0</v>
      </c>
      <c r="H1180" s="31">
        <f t="shared" si="283"/>
        <v>0</v>
      </c>
      <c r="I1180" s="31">
        <f t="shared" si="283"/>
        <v>0</v>
      </c>
      <c r="J1180" s="31">
        <f t="shared" si="283"/>
        <v>0</v>
      </c>
      <c r="K1180" s="33">
        <f t="shared" si="283"/>
        <v>0</v>
      </c>
      <c r="L1180" s="31">
        <f t="shared" si="283"/>
        <v>0</v>
      </c>
      <c r="M1180" s="31">
        <f t="shared" si="283"/>
        <v>615.76</v>
      </c>
      <c r="N1180" s="31">
        <f t="shared" si="283"/>
        <v>3020074.45</v>
      </c>
      <c r="O1180" s="31">
        <f t="shared" si="283"/>
        <v>0</v>
      </c>
      <c r="P1180" s="31">
        <f t="shared" si="283"/>
        <v>0</v>
      </c>
      <c r="Q1180" s="31">
        <f t="shared" si="283"/>
        <v>0</v>
      </c>
      <c r="R1180" s="31">
        <f t="shared" si="283"/>
        <v>0</v>
      </c>
      <c r="S1180" s="31">
        <f t="shared" si="283"/>
        <v>0</v>
      </c>
      <c r="T1180" s="31">
        <f t="shared" si="283"/>
        <v>0</v>
      </c>
      <c r="U1180" s="31">
        <f t="shared" si="283"/>
        <v>0</v>
      </c>
      <c r="V1180" s="31">
        <f t="shared" si="283"/>
        <v>0</v>
      </c>
      <c r="W1180" s="31">
        <f t="shared" si="283"/>
        <v>0</v>
      </c>
      <c r="X1180" s="31">
        <f t="shared" si="283"/>
        <v>0</v>
      </c>
      <c r="Y1180" s="31">
        <f t="shared" si="283"/>
        <v>0</v>
      </c>
      <c r="Z1180" s="31">
        <f t="shared" si="283"/>
        <v>0</v>
      </c>
      <c r="AA1180" s="31">
        <f t="shared" si="283"/>
        <v>0</v>
      </c>
      <c r="AB1180" s="31">
        <f t="shared" si="283"/>
        <v>0</v>
      </c>
      <c r="AC1180" s="31">
        <f t="shared" si="283"/>
        <v>45301.120000000003</v>
      </c>
      <c r="AD1180" s="31">
        <f t="shared" si="283"/>
        <v>150000</v>
      </c>
      <c r="AE1180" s="31">
        <f t="shared" si="283"/>
        <v>0</v>
      </c>
      <c r="AF1180" s="130" t="s">
        <v>776</v>
      </c>
      <c r="AG1180" s="130" t="s">
        <v>776</v>
      </c>
      <c r="AH1180" s="131" t="s">
        <v>776</v>
      </c>
      <c r="AT1180" s="20" t="e">
        <f t="shared" si="269"/>
        <v>#N/A</v>
      </c>
      <c r="BZ1180" s="71">
        <v>3215375.5700000003</v>
      </c>
    </row>
    <row r="1181" spans="1:78" ht="61.5" x14ac:dyDescent="0.85">
      <c r="A1181" s="20">
        <v>1</v>
      </c>
      <c r="B1181" s="66">
        <f>SUBTOTAL(103,$A$963:A1181)</f>
        <v>180</v>
      </c>
      <c r="C1181" s="177" t="s">
        <v>70</v>
      </c>
      <c r="D1181" s="31">
        <f>E1181+F1181+G1181+H1181+I1181+J1181+L1181+N1181+P1181+R1181+T1181+U1181+V1181+W1181+X1181+Y1181+Z1181+AA1181+AB1181+AC1181+AD1181+AE1181</f>
        <v>3215375.5700000003</v>
      </c>
      <c r="E1181" s="31">
        <v>0</v>
      </c>
      <c r="F1181" s="31">
        <v>0</v>
      </c>
      <c r="G1181" s="31">
        <v>0</v>
      </c>
      <c r="H1181" s="31">
        <v>0</v>
      </c>
      <c r="I1181" s="31">
        <v>0</v>
      </c>
      <c r="J1181" s="31">
        <v>0</v>
      </c>
      <c r="K1181" s="33">
        <v>0</v>
      </c>
      <c r="L1181" s="31">
        <v>0</v>
      </c>
      <c r="M1181" s="31">
        <v>615.76</v>
      </c>
      <c r="N1181" s="31">
        <v>3020074.45</v>
      </c>
      <c r="O1181" s="31">
        <v>0</v>
      </c>
      <c r="P1181" s="31">
        <v>0</v>
      </c>
      <c r="Q1181" s="31">
        <v>0</v>
      </c>
      <c r="R1181" s="31">
        <v>0</v>
      </c>
      <c r="S1181" s="31">
        <v>0</v>
      </c>
      <c r="T1181" s="31">
        <v>0</v>
      </c>
      <c r="U1181" s="31">
        <v>0</v>
      </c>
      <c r="V1181" s="31">
        <v>0</v>
      </c>
      <c r="W1181" s="31">
        <v>0</v>
      </c>
      <c r="X1181" s="31">
        <v>0</v>
      </c>
      <c r="Y1181" s="31">
        <v>0</v>
      </c>
      <c r="Z1181" s="31">
        <v>0</v>
      </c>
      <c r="AA1181" s="31">
        <v>0</v>
      </c>
      <c r="AB1181" s="31">
        <v>0</v>
      </c>
      <c r="AC1181" s="31">
        <f>ROUND(N1181*1.5%,2)</f>
        <v>45301.120000000003</v>
      </c>
      <c r="AD1181" s="31">
        <v>150000</v>
      </c>
      <c r="AE1181" s="31">
        <v>0</v>
      </c>
      <c r="AF1181" s="34">
        <v>2022</v>
      </c>
      <c r="AG1181" s="34">
        <v>2022</v>
      </c>
      <c r="AH1181" s="35">
        <v>2022</v>
      </c>
      <c r="AT1181" s="20" t="e">
        <f t="shared" si="269"/>
        <v>#N/A</v>
      </c>
      <c r="BZ1181" s="71"/>
    </row>
    <row r="1182" spans="1:78" ht="61.5" x14ac:dyDescent="0.85">
      <c r="B1182" s="24" t="s">
        <v>871</v>
      </c>
      <c r="C1182" s="24"/>
      <c r="D1182" s="31">
        <f>D1183+D1184+D1185</f>
        <v>10672314.84</v>
      </c>
      <c r="E1182" s="31">
        <f t="shared" ref="E1182:AE1182" si="284">E1183+E1184+E1185</f>
        <v>0</v>
      </c>
      <c r="F1182" s="31">
        <f t="shared" si="284"/>
        <v>0</v>
      </c>
      <c r="G1182" s="31">
        <f t="shared" si="284"/>
        <v>0</v>
      </c>
      <c r="H1182" s="31">
        <f t="shared" si="284"/>
        <v>0</v>
      </c>
      <c r="I1182" s="31">
        <f t="shared" si="284"/>
        <v>0</v>
      </c>
      <c r="J1182" s="31">
        <f t="shared" si="284"/>
        <v>0</v>
      </c>
      <c r="K1182" s="33">
        <f t="shared" si="284"/>
        <v>0</v>
      </c>
      <c r="L1182" s="31">
        <f t="shared" si="284"/>
        <v>0</v>
      </c>
      <c r="M1182" s="31">
        <f t="shared" si="284"/>
        <v>2043.8</v>
      </c>
      <c r="N1182" s="31">
        <f t="shared" si="284"/>
        <v>10100802.800000001</v>
      </c>
      <c r="O1182" s="31">
        <f t="shared" si="284"/>
        <v>0</v>
      </c>
      <c r="P1182" s="31">
        <f t="shared" si="284"/>
        <v>0</v>
      </c>
      <c r="Q1182" s="31">
        <f t="shared" si="284"/>
        <v>0</v>
      </c>
      <c r="R1182" s="31">
        <f t="shared" si="284"/>
        <v>0</v>
      </c>
      <c r="S1182" s="31">
        <f t="shared" si="284"/>
        <v>0</v>
      </c>
      <c r="T1182" s="31">
        <f t="shared" si="284"/>
        <v>0</v>
      </c>
      <c r="U1182" s="31">
        <f t="shared" si="284"/>
        <v>0</v>
      </c>
      <c r="V1182" s="31">
        <f t="shared" si="284"/>
        <v>0</v>
      </c>
      <c r="W1182" s="31">
        <f t="shared" si="284"/>
        <v>0</v>
      </c>
      <c r="X1182" s="31">
        <f t="shared" si="284"/>
        <v>0</v>
      </c>
      <c r="Y1182" s="31">
        <f t="shared" si="284"/>
        <v>0</v>
      </c>
      <c r="Z1182" s="31">
        <f t="shared" si="284"/>
        <v>0</v>
      </c>
      <c r="AA1182" s="31">
        <f t="shared" si="284"/>
        <v>0</v>
      </c>
      <c r="AB1182" s="31">
        <f t="shared" si="284"/>
        <v>0</v>
      </c>
      <c r="AC1182" s="31">
        <f t="shared" si="284"/>
        <v>151512.04</v>
      </c>
      <c r="AD1182" s="31">
        <f t="shared" si="284"/>
        <v>420000</v>
      </c>
      <c r="AE1182" s="31">
        <f t="shared" si="284"/>
        <v>0</v>
      </c>
      <c r="AF1182" s="130" t="s">
        <v>776</v>
      </c>
      <c r="AG1182" s="130" t="s">
        <v>776</v>
      </c>
      <c r="AH1182" s="131" t="s">
        <v>776</v>
      </c>
      <c r="AT1182" s="20" t="e">
        <f t="shared" si="269"/>
        <v>#N/A</v>
      </c>
      <c r="BZ1182" s="71">
        <v>10672314.84</v>
      </c>
    </row>
    <row r="1183" spans="1:78" ht="61.5" x14ac:dyDescent="0.85">
      <c r="A1183" s="20">
        <v>1</v>
      </c>
      <c r="B1183" s="66">
        <f>SUBTOTAL(103,$A$963:A1183)</f>
        <v>181</v>
      </c>
      <c r="C1183" s="177" t="s">
        <v>71</v>
      </c>
      <c r="D1183" s="31">
        <f>E1183+F1183+G1183+H1183+I1183+J1183+L1183+N1183+P1183+R1183+T1183+U1183+V1183+W1183+X1183+Y1183+Z1183+AA1183+AB1183+AC1183+AD1183+AE1183</f>
        <v>2391584.4</v>
      </c>
      <c r="E1183" s="31">
        <v>0</v>
      </c>
      <c r="F1183" s="31">
        <v>0</v>
      </c>
      <c r="G1183" s="31">
        <v>0</v>
      </c>
      <c r="H1183" s="31">
        <v>0</v>
      </c>
      <c r="I1183" s="31">
        <v>0</v>
      </c>
      <c r="J1183" s="31">
        <v>0</v>
      </c>
      <c r="K1183" s="33">
        <v>0</v>
      </c>
      <c r="L1183" s="31">
        <v>0</v>
      </c>
      <c r="M1183" s="31">
        <v>458</v>
      </c>
      <c r="N1183" s="31">
        <v>2238014.19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1">
        <v>0</v>
      </c>
      <c r="X1183" s="31">
        <v>0</v>
      </c>
      <c r="Y1183" s="31">
        <v>0</v>
      </c>
      <c r="Z1183" s="31">
        <v>0</v>
      </c>
      <c r="AA1183" s="31">
        <v>0</v>
      </c>
      <c r="AB1183" s="31">
        <v>0</v>
      </c>
      <c r="AC1183" s="31">
        <f>ROUND(N1183*1.5%,2)</f>
        <v>33570.21</v>
      </c>
      <c r="AD1183" s="31">
        <v>120000</v>
      </c>
      <c r="AE1183" s="31">
        <v>0</v>
      </c>
      <c r="AF1183" s="34">
        <v>2022</v>
      </c>
      <c r="AG1183" s="34">
        <v>2022</v>
      </c>
      <c r="AH1183" s="35">
        <v>2022</v>
      </c>
      <c r="AT1183" s="20" t="e">
        <f t="shared" si="269"/>
        <v>#N/A</v>
      </c>
      <c r="BZ1183" s="71"/>
    </row>
    <row r="1184" spans="1:78" ht="61.5" x14ac:dyDescent="0.85">
      <c r="A1184" s="20">
        <v>1</v>
      </c>
      <c r="B1184" s="66">
        <f>SUBTOTAL(103,$A$963:A1184)</f>
        <v>182</v>
      </c>
      <c r="C1184" s="177" t="s">
        <v>72</v>
      </c>
      <c r="D1184" s="31">
        <f>E1184+F1184+G1184+H1184+I1184+J1184+L1184+N1184+P1184+R1184+T1184+U1184+V1184+W1184+X1184+Y1184+Z1184+AA1184+AB1184+AC1184+AD1184+AE1184</f>
        <v>4908492</v>
      </c>
      <c r="E1184" s="31">
        <v>0</v>
      </c>
      <c r="F1184" s="31">
        <v>0</v>
      </c>
      <c r="G1184" s="31">
        <v>0</v>
      </c>
      <c r="H1184" s="31">
        <v>0</v>
      </c>
      <c r="I1184" s="31">
        <v>0</v>
      </c>
      <c r="J1184" s="31">
        <v>0</v>
      </c>
      <c r="K1184" s="33">
        <v>0</v>
      </c>
      <c r="L1184" s="31">
        <v>0</v>
      </c>
      <c r="M1184" s="31">
        <v>940</v>
      </c>
      <c r="N1184" s="31">
        <v>4688169.46</v>
      </c>
      <c r="O1184" s="31">
        <v>0</v>
      </c>
      <c r="P1184" s="31">
        <v>0</v>
      </c>
      <c r="Q1184" s="31">
        <v>0</v>
      </c>
      <c r="R1184" s="31">
        <v>0</v>
      </c>
      <c r="S1184" s="31">
        <v>0</v>
      </c>
      <c r="T1184" s="31">
        <v>0</v>
      </c>
      <c r="U1184" s="31">
        <v>0</v>
      </c>
      <c r="V1184" s="31">
        <v>0</v>
      </c>
      <c r="W1184" s="31">
        <v>0</v>
      </c>
      <c r="X1184" s="31">
        <v>0</v>
      </c>
      <c r="Y1184" s="31">
        <v>0</v>
      </c>
      <c r="Z1184" s="31">
        <v>0</v>
      </c>
      <c r="AA1184" s="31">
        <v>0</v>
      </c>
      <c r="AB1184" s="31">
        <v>0</v>
      </c>
      <c r="AC1184" s="31">
        <f>ROUND(N1184*1.5%,2)</f>
        <v>70322.539999999994</v>
      </c>
      <c r="AD1184" s="31">
        <v>150000</v>
      </c>
      <c r="AE1184" s="31">
        <v>0</v>
      </c>
      <c r="AF1184" s="34">
        <v>2022</v>
      </c>
      <c r="AG1184" s="34">
        <v>2022</v>
      </c>
      <c r="AH1184" s="35">
        <v>2022</v>
      </c>
      <c r="AT1184" s="20" t="e">
        <f t="shared" si="269"/>
        <v>#N/A</v>
      </c>
      <c r="BZ1184" s="71"/>
    </row>
    <row r="1185" spans="1:78" ht="61.5" x14ac:dyDescent="0.85">
      <c r="A1185" s="20">
        <v>1</v>
      </c>
      <c r="B1185" s="66">
        <f>SUBTOTAL(103,$A$963:A1185)</f>
        <v>183</v>
      </c>
      <c r="C1185" s="177" t="s">
        <v>73</v>
      </c>
      <c r="D1185" s="31">
        <f>E1185+F1185+G1185+H1185+I1185+J1185+L1185+N1185+P1185+R1185+T1185+U1185+V1185+W1185+X1185+Y1185+Z1185+AA1185+AB1185+AC1185+AD1185+AE1185</f>
        <v>3372238.44</v>
      </c>
      <c r="E1185" s="31">
        <v>0</v>
      </c>
      <c r="F1185" s="31">
        <v>0</v>
      </c>
      <c r="G1185" s="31">
        <v>0</v>
      </c>
      <c r="H1185" s="31">
        <v>0</v>
      </c>
      <c r="I1185" s="31">
        <v>0</v>
      </c>
      <c r="J1185" s="31">
        <v>0</v>
      </c>
      <c r="K1185" s="33">
        <v>0</v>
      </c>
      <c r="L1185" s="31">
        <v>0</v>
      </c>
      <c r="M1185" s="31">
        <v>645.79999999999995</v>
      </c>
      <c r="N1185" s="31">
        <v>3174619.15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1">
        <v>0</v>
      </c>
      <c r="Y1185" s="31">
        <v>0</v>
      </c>
      <c r="Z1185" s="31">
        <v>0</v>
      </c>
      <c r="AA1185" s="31">
        <v>0</v>
      </c>
      <c r="AB1185" s="31">
        <v>0</v>
      </c>
      <c r="AC1185" s="31">
        <f>ROUND(N1185*1.5%,2)</f>
        <v>47619.29</v>
      </c>
      <c r="AD1185" s="31">
        <v>150000</v>
      </c>
      <c r="AE1185" s="31">
        <v>0</v>
      </c>
      <c r="AF1185" s="34">
        <v>2022</v>
      </c>
      <c r="AG1185" s="34">
        <v>2022</v>
      </c>
      <c r="AH1185" s="35">
        <v>2022</v>
      </c>
      <c r="AT1185" s="20" t="e">
        <f t="shared" si="269"/>
        <v>#N/A</v>
      </c>
      <c r="BZ1185" s="71"/>
    </row>
    <row r="1186" spans="1:78" ht="61.5" x14ac:dyDescent="0.85">
      <c r="B1186" s="24" t="s">
        <v>867</v>
      </c>
      <c r="C1186" s="24"/>
      <c r="D1186" s="31">
        <f>D1187</f>
        <v>3912770.8299999996</v>
      </c>
      <c r="E1186" s="31">
        <f t="shared" ref="E1186:AE1186" si="285">E1187</f>
        <v>0</v>
      </c>
      <c r="F1186" s="31">
        <f t="shared" si="285"/>
        <v>0</v>
      </c>
      <c r="G1186" s="31">
        <f t="shared" si="285"/>
        <v>0</v>
      </c>
      <c r="H1186" s="31">
        <f t="shared" si="285"/>
        <v>0</v>
      </c>
      <c r="I1186" s="31">
        <f t="shared" si="285"/>
        <v>0</v>
      </c>
      <c r="J1186" s="31">
        <f t="shared" si="285"/>
        <v>0</v>
      </c>
      <c r="K1186" s="33">
        <f t="shared" si="285"/>
        <v>0</v>
      </c>
      <c r="L1186" s="31">
        <f t="shared" si="285"/>
        <v>0</v>
      </c>
      <c r="M1186" s="31">
        <f t="shared" si="285"/>
        <v>1320</v>
      </c>
      <c r="N1186" s="31">
        <f t="shared" si="285"/>
        <v>3736720.03</v>
      </c>
      <c r="O1186" s="31">
        <f t="shared" si="285"/>
        <v>0</v>
      </c>
      <c r="P1186" s="31">
        <f t="shared" si="285"/>
        <v>0</v>
      </c>
      <c r="Q1186" s="31">
        <f t="shared" si="285"/>
        <v>0</v>
      </c>
      <c r="R1186" s="31">
        <f t="shared" si="285"/>
        <v>0</v>
      </c>
      <c r="S1186" s="31">
        <f t="shared" si="285"/>
        <v>0</v>
      </c>
      <c r="T1186" s="31">
        <f t="shared" si="285"/>
        <v>0</v>
      </c>
      <c r="U1186" s="31">
        <f t="shared" si="285"/>
        <v>0</v>
      </c>
      <c r="V1186" s="31">
        <f t="shared" si="285"/>
        <v>0</v>
      </c>
      <c r="W1186" s="31">
        <f t="shared" si="285"/>
        <v>0</v>
      </c>
      <c r="X1186" s="31">
        <f t="shared" si="285"/>
        <v>0</v>
      </c>
      <c r="Y1186" s="31">
        <f t="shared" si="285"/>
        <v>0</v>
      </c>
      <c r="Z1186" s="31">
        <f t="shared" si="285"/>
        <v>0</v>
      </c>
      <c r="AA1186" s="31">
        <f t="shared" si="285"/>
        <v>0</v>
      </c>
      <c r="AB1186" s="31">
        <f t="shared" si="285"/>
        <v>0</v>
      </c>
      <c r="AC1186" s="31">
        <f t="shared" si="285"/>
        <v>56050.8</v>
      </c>
      <c r="AD1186" s="31">
        <f t="shared" si="285"/>
        <v>120000</v>
      </c>
      <c r="AE1186" s="31">
        <f t="shared" si="285"/>
        <v>0</v>
      </c>
      <c r="AF1186" s="130" t="s">
        <v>776</v>
      </c>
      <c r="AG1186" s="130" t="s">
        <v>776</v>
      </c>
      <c r="AH1186" s="131" t="s">
        <v>776</v>
      </c>
      <c r="AT1186" s="20" t="e">
        <f t="shared" si="269"/>
        <v>#N/A</v>
      </c>
      <c r="BZ1186" s="71">
        <v>3912770.8299999996</v>
      </c>
    </row>
    <row r="1187" spans="1:78" ht="61.5" x14ac:dyDescent="0.85">
      <c r="A1187" s="20">
        <v>1</v>
      </c>
      <c r="B1187" s="66">
        <f>SUBTOTAL(103,$A$963:A1187)</f>
        <v>184</v>
      </c>
      <c r="C1187" s="177" t="s">
        <v>1610</v>
      </c>
      <c r="D1187" s="31">
        <f>E1187+F1187+G1187+H1187+I1187+J1187+L1187+N1187+P1187+R1187+T1187+U1187+V1187+W1187+X1187+Y1187+Z1187+AA1187+AB1187+AC1187+AD1187+AE1187</f>
        <v>3912770.8299999996</v>
      </c>
      <c r="E1187" s="31">
        <v>0</v>
      </c>
      <c r="F1187" s="31">
        <v>0</v>
      </c>
      <c r="G1187" s="31">
        <v>0</v>
      </c>
      <c r="H1187" s="31">
        <v>0</v>
      </c>
      <c r="I1187" s="31">
        <v>0</v>
      </c>
      <c r="J1187" s="31">
        <v>0</v>
      </c>
      <c r="K1187" s="33">
        <v>0</v>
      </c>
      <c r="L1187" s="31">
        <v>0</v>
      </c>
      <c r="M1187" s="31">
        <v>1320</v>
      </c>
      <c r="N1187" s="31">
        <v>3736720.03</v>
      </c>
      <c r="O1187" s="31">
        <v>0</v>
      </c>
      <c r="P1187" s="31">
        <v>0</v>
      </c>
      <c r="Q1187" s="31">
        <v>0</v>
      </c>
      <c r="R1187" s="31">
        <v>0</v>
      </c>
      <c r="S1187" s="31">
        <v>0</v>
      </c>
      <c r="T1187" s="31">
        <v>0</v>
      </c>
      <c r="U1187" s="31">
        <v>0</v>
      </c>
      <c r="V1187" s="31">
        <v>0</v>
      </c>
      <c r="W1187" s="31">
        <v>0</v>
      </c>
      <c r="X1187" s="31">
        <v>0</v>
      </c>
      <c r="Y1187" s="31">
        <v>0</v>
      </c>
      <c r="Z1187" s="31">
        <v>0</v>
      </c>
      <c r="AA1187" s="31">
        <v>0</v>
      </c>
      <c r="AB1187" s="31">
        <v>0</v>
      </c>
      <c r="AC1187" s="31">
        <f>ROUND(N1187*1.5%,2)</f>
        <v>56050.8</v>
      </c>
      <c r="AD1187" s="31">
        <v>120000</v>
      </c>
      <c r="AE1187" s="31">
        <v>0</v>
      </c>
      <c r="AF1187" s="34">
        <v>2022</v>
      </c>
      <c r="AG1187" s="34">
        <v>2022</v>
      </c>
      <c r="AH1187" s="35">
        <v>2022</v>
      </c>
      <c r="BZ1187" s="71"/>
    </row>
    <row r="1188" spans="1:78" ht="61.5" x14ac:dyDescent="0.85">
      <c r="B1188" s="24" t="s">
        <v>872</v>
      </c>
      <c r="C1188" s="129"/>
      <c r="D1188" s="31">
        <f>D1189</f>
        <v>4804056</v>
      </c>
      <c r="E1188" s="31">
        <f t="shared" ref="E1188:AE1188" si="286">E1189</f>
        <v>0</v>
      </c>
      <c r="F1188" s="31">
        <f t="shared" si="286"/>
        <v>0</v>
      </c>
      <c r="G1188" s="31">
        <f t="shared" si="286"/>
        <v>0</v>
      </c>
      <c r="H1188" s="31">
        <f t="shared" si="286"/>
        <v>0</v>
      </c>
      <c r="I1188" s="31">
        <f t="shared" si="286"/>
        <v>0</v>
      </c>
      <c r="J1188" s="31">
        <f t="shared" si="286"/>
        <v>0</v>
      </c>
      <c r="K1188" s="33">
        <f t="shared" si="286"/>
        <v>0</v>
      </c>
      <c r="L1188" s="31">
        <f t="shared" si="286"/>
        <v>0</v>
      </c>
      <c r="M1188" s="31">
        <f t="shared" si="286"/>
        <v>925</v>
      </c>
      <c r="N1188" s="31">
        <f t="shared" si="286"/>
        <v>4585276.8499999996</v>
      </c>
      <c r="O1188" s="31">
        <f t="shared" si="286"/>
        <v>0</v>
      </c>
      <c r="P1188" s="31">
        <f t="shared" si="286"/>
        <v>0</v>
      </c>
      <c r="Q1188" s="31">
        <f t="shared" si="286"/>
        <v>0</v>
      </c>
      <c r="R1188" s="31">
        <f t="shared" si="286"/>
        <v>0</v>
      </c>
      <c r="S1188" s="31">
        <f t="shared" si="286"/>
        <v>0</v>
      </c>
      <c r="T1188" s="31">
        <f t="shared" si="286"/>
        <v>0</v>
      </c>
      <c r="U1188" s="31">
        <f t="shared" si="286"/>
        <v>0</v>
      </c>
      <c r="V1188" s="31">
        <f t="shared" si="286"/>
        <v>0</v>
      </c>
      <c r="W1188" s="31">
        <f t="shared" si="286"/>
        <v>0</v>
      </c>
      <c r="X1188" s="31">
        <f t="shared" si="286"/>
        <v>0</v>
      </c>
      <c r="Y1188" s="31">
        <f t="shared" si="286"/>
        <v>0</v>
      </c>
      <c r="Z1188" s="31">
        <f t="shared" si="286"/>
        <v>0</v>
      </c>
      <c r="AA1188" s="31">
        <f t="shared" si="286"/>
        <v>0</v>
      </c>
      <c r="AB1188" s="31">
        <f t="shared" si="286"/>
        <v>0</v>
      </c>
      <c r="AC1188" s="31">
        <f t="shared" si="286"/>
        <v>68779.149999999994</v>
      </c>
      <c r="AD1188" s="31">
        <f t="shared" si="286"/>
        <v>150000</v>
      </c>
      <c r="AE1188" s="31">
        <f t="shared" si="286"/>
        <v>0</v>
      </c>
      <c r="AF1188" s="130" t="s">
        <v>776</v>
      </c>
      <c r="AG1188" s="130" t="s">
        <v>776</v>
      </c>
      <c r="AH1188" s="131" t="s">
        <v>776</v>
      </c>
      <c r="AT1188" s="20" t="e">
        <f t="shared" ref="AT1188:AT1205" si="287">VLOOKUP(C1188,AW:AX,2,FALSE)</f>
        <v>#N/A</v>
      </c>
      <c r="BZ1188" s="71">
        <v>4804056</v>
      </c>
    </row>
    <row r="1189" spans="1:78" ht="61.5" x14ac:dyDescent="0.85">
      <c r="A1189" s="20">
        <v>1</v>
      </c>
      <c r="B1189" s="66">
        <f>SUBTOTAL(103,$A$963:A1189)</f>
        <v>185</v>
      </c>
      <c r="C1189" s="177" t="s">
        <v>231</v>
      </c>
      <c r="D1189" s="31">
        <f>E1189+F1189+G1189+H1189+I1189+J1189+L1189+N1189+P1189+R1189+T1189+U1189+V1189+W1189+X1189+Y1189+Z1189+AA1189+AB1189+AC1189+AD1189+AE1189</f>
        <v>4804056</v>
      </c>
      <c r="E1189" s="31">
        <v>0</v>
      </c>
      <c r="F1189" s="31">
        <v>0</v>
      </c>
      <c r="G1189" s="31">
        <v>0</v>
      </c>
      <c r="H1189" s="31">
        <v>0</v>
      </c>
      <c r="I1189" s="31">
        <v>0</v>
      </c>
      <c r="J1189" s="31">
        <v>0</v>
      </c>
      <c r="K1189" s="33">
        <v>0</v>
      </c>
      <c r="L1189" s="31">
        <v>0</v>
      </c>
      <c r="M1189" s="31">
        <v>925</v>
      </c>
      <c r="N1189" s="31">
        <v>4585276.8499999996</v>
      </c>
      <c r="O1189" s="31">
        <v>0</v>
      </c>
      <c r="P1189" s="31">
        <v>0</v>
      </c>
      <c r="Q1189" s="31">
        <v>0</v>
      </c>
      <c r="R1189" s="31">
        <v>0</v>
      </c>
      <c r="S1189" s="31">
        <v>0</v>
      </c>
      <c r="T1189" s="31">
        <v>0</v>
      </c>
      <c r="U1189" s="31">
        <v>0</v>
      </c>
      <c r="V1189" s="31">
        <v>0</v>
      </c>
      <c r="W1189" s="31">
        <v>0</v>
      </c>
      <c r="X1189" s="31">
        <v>0</v>
      </c>
      <c r="Y1189" s="31">
        <v>0</v>
      </c>
      <c r="Z1189" s="31">
        <v>0</v>
      </c>
      <c r="AA1189" s="31">
        <v>0</v>
      </c>
      <c r="AB1189" s="31">
        <v>0</v>
      </c>
      <c r="AC1189" s="31">
        <f>ROUND(N1189*1.5%,2)</f>
        <v>68779.149999999994</v>
      </c>
      <c r="AD1189" s="31">
        <v>150000</v>
      </c>
      <c r="AE1189" s="31">
        <v>0</v>
      </c>
      <c r="AF1189" s="34">
        <v>2022</v>
      </c>
      <c r="AG1189" s="34">
        <v>2022</v>
      </c>
      <c r="AH1189" s="35">
        <v>2022</v>
      </c>
      <c r="AT1189" s="20" t="e">
        <f t="shared" si="287"/>
        <v>#N/A</v>
      </c>
      <c r="BZ1189" s="71"/>
    </row>
    <row r="1190" spans="1:78" ht="61.5" x14ac:dyDescent="0.85">
      <c r="B1190" s="24" t="s">
        <v>907</v>
      </c>
      <c r="C1190" s="129"/>
      <c r="D1190" s="31">
        <f>D1191</f>
        <v>7284801.9000000004</v>
      </c>
      <c r="E1190" s="31">
        <f t="shared" ref="E1190:AE1190" si="288">E1191</f>
        <v>0</v>
      </c>
      <c r="F1190" s="31">
        <f t="shared" si="288"/>
        <v>0</v>
      </c>
      <c r="G1190" s="31">
        <f t="shared" si="288"/>
        <v>0</v>
      </c>
      <c r="H1190" s="31">
        <f t="shared" si="288"/>
        <v>0</v>
      </c>
      <c r="I1190" s="31">
        <f t="shared" si="288"/>
        <v>0</v>
      </c>
      <c r="J1190" s="31">
        <f t="shared" si="288"/>
        <v>0</v>
      </c>
      <c r="K1190" s="33">
        <f t="shared" si="288"/>
        <v>0</v>
      </c>
      <c r="L1190" s="31">
        <f t="shared" si="288"/>
        <v>0</v>
      </c>
      <c r="M1190" s="31">
        <f t="shared" si="288"/>
        <v>1501.50709241</v>
      </c>
      <c r="N1190" s="31">
        <f t="shared" si="288"/>
        <v>6999804.8300000001</v>
      </c>
      <c r="O1190" s="31">
        <f t="shared" si="288"/>
        <v>0</v>
      </c>
      <c r="P1190" s="31">
        <f t="shared" si="288"/>
        <v>0</v>
      </c>
      <c r="Q1190" s="31">
        <f t="shared" si="288"/>
        <v>0</v>
      </c>
      <c r="R1190" s="31">
        <f t="shared" si="288"/>
        <v>0</v>
      </c>
      <c r="S1190" s="31">
        <f t="shared" si="288"/>
        <v>0</v>
      </c>
      <c r="T1190" s="31">
        <f t="shared" si="288"/>
        <v>0</v>
      </c>
      <c r="U1190" s="31">
        <f t="shared" si="288"/>
        <v>0</v>
      </c>
      <c r="V1190" s="31">
        <f t="shared" si="288"/>
        <v>0</v>
      </c>
      <c r="W1190" s="31">
        <f t="shared" si="288"/>
        <v>0</v>
      </c>
      <c r="X1190" s="31">
        <f t="shared" si="288"/>
        <v>0</v>
      </c>
      <c r="Y1190" s="31">
        <f t="shared" si="288"/>
        <v>0</v>
      </c>
      <c r="Z1190" s="31">
        <f t="shared" si="288"/>
        <v>0</v>
      </c>
      <c r="AA1190" s="31">
        <f t="shared" si="288"/>
        <v>0</v>
      </c>
      <c r="AB1190" s="31">
        <f t="shared" si="288"/>
        <v>0</v>
      </c>
      <c r="AC1190" s="31">
        <f t="shared" si="288"/>
        <v>104997.07</v>
      </c>
      <c r="AD1190" s="31">
        <f t="shared" si="288"/>
        <v>180000</v>
      </c>
      <c r="AE1190" s="31">
        <f t="shared" si="288"/>
        <v>0</v>
      </c>
      <c r="AF1190" s="130" t="s">
        <v>776</v>
      </c>
      <c r="AG1190" s="130" t="s">
        <v>776</v>
      </c>
      <c r="AH1190" s="131" t="s">
        <v>776</v>
      </c>
      <c r="AT1190" s="20" t="e">
        <f t="shared" si="287"/>
        <v>#N/A</v>
      </c>
      <c r="BZ1190" s="71">
        <v>7284801.9000000004</v>
      </c>
    </row>
    <row r="1191" spans="1:78" ht="61.5" x14ac:dyDescent="0.85">
      <c r="A1191" s="20">
        <v>1</v>
      </c>
      <c r="B1191" s="66">
        <f>SUBTOTAL(103,$A$963:A1191)</f>
        <v>186</v>
      </c>
      <c r="C1191" s="177" t="s">
        <v>162</v>
      </c>
      <c r="D1191" s="31">
        <f>E1191+F1191+G1191+H1191+I1191+J1191+L1191+N1191+P1191+R1191+T1191+U1191+V1191+W1191+X1191+Y1191+Z1191+AA1191+AB1191+AC1191+AD1191+AE1191</f>
        <v>7284801.9000000004</v>
      </c>
      <c r="E1191" s="31">
        <v>0</v>
      </c>
      <c r="F1191" s="31">
        <v>0</v>
      </c>
      <c r="G1191" s="31">
        <v>0</v>
      </c>
      <c r="H1191" s="31">
        <v>0</v>
      </c>
      <c r="I1191" s="31">
        <v>0</v>
      </c>
      <c r="J1191" s="31">
        <v>0</v>
      </c>
      <c r="K1191" s="33">
        <v>0</v>
      </c>
      <c r="L1191" s="31">
        <v>0</v>
      </c>
      <c r="M1191" s="31">
        <v>1501.50709241</v>
      </c>
      <c r="N1191" s="31">
        <v>6999804.8300000001</v>
      </c>
      <c r="O1191" s="31">
        <v>0</v>
      </c>
      <c r="P1191" s="31">
        <v>0</v>
      </c>
      <c r="Q1191" s="31">
        <v>0</v>
      </c>
      <c r="R1191" s="31">
        <v>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1">
        <v>0</v>
      </c>
      <c r="Y1191" s="31">
        <v>0</v>
      </c>
      <c r="Z1191" s="31">
        <v>0</v>
      </c>
      <c r="AA1191" s="31">
        <v>0</v>
      </c>
      <c r="AB1191" s="31">
        <v>0</v>
      </c>
      <c r="AC1191" s="31">
        <f>ROUND(N1191*1.5%,2)</f>
        <v>104997.07</v>
      </c>
      <c r="AD1191" s="31">
        <v>180000</v>
      </c>
      <c r="AE1191" s="31">
        <v>0</v>
      </c>
      <c r="AF1191" s="34">
        <v>2022</v>
      </c>
      <c r="AG1191" s="34">
        <v>2022</v>
      </c>
      <c r="AH1191" s="35">
        <v>2022</v>
      </c>
      <c r="AT1191" s="20" t="e">
        <f t="shared" si="287"/>
        <v>#N/A</v>
      </c>
      <c r="BZ1191" s="71"/>
    </row>
    <row r="1192" spans="1:78" ht="61.5" x14ac:dyDescent="0.85">
      <c r="B1192" s="24" t="s">
        <v>903</v>
      </c>
      <c r="C1192" s="24"/>
      <c r="D1192" s="31">
        <f>D1193+D1194</f>
        <v>4011881.02</v>
      </c>
      <c r="E1192" s="31">
        <f t="shared" ref="E1192:AE1192" si="289">E1193+E1194</f>
        <v>0</v>
      </c>
      <c r="F1192" s="31">
        <f t="shared" si="289"/>
        <v>0</v>
      </c>
      <c r="G1192" s="31">
        <f t="shared" si="289"/>
        <v>0</v>
      </c>
      <c r="H1192" s="31">
        <f t="shared" si="289"/>
        <v>0</v>
      </c>
      <c r="I1192" s="31">
        <f t="shared" si="289"/>
        <v>0</v>
      </c>
      <c r="J1192" s="31">
        <f t="shared" si="289"/>
        <v>0</v>
      </c>
      <c r="K1192" s="33">
        <f t="shared" si="289"/>
        <v>0</v>
      </c>
      <c r="L1192" s="31">
        <f t="shared" si="289"/>
        <v>0</v>
      </c>
      <c r="M1192" s="31">
        <f t="shared" si="289"/>
        <v>771.1</v>
      </c>
      <c r="N1192" s="31">
        <f t="shared" si="289"/>
        <v>3479820.61</v>
      </c>
      <c r="O1192" s="31">
        <f t="shared" si="289"/>
        <v>0</v>
      </c>
      <c r="P1192" s="31">
        <f t="shared" si="289"/>
        <v>0</v>
      </c>
      <c r="Q1192" s="31">
        <f t="shared" si="289"/>
        <v>98</v>
      </c>
      <c r="R1192" s="31">
        <f t="shared" si="289"/>
        <v>206761.67</v>
      </c>
      <c r="S1192" s="31">
        <f t="shared" si="289"/>
        <v>0</v>
      </c>
      <c r="T1192" s="31">
        <f t="shared" si="289"/>
        <v>0</v>
      </c>
      <c r="U1192" s="31">
        <f t="shared" si="289"/>
        <v>0</v>
      </c>
      <c r="V1192" s="31">
        <f t="shared" si="289"/>
        <v>0</v>
      </c>
      <c r="W1192" s="31">
        <f t="shared" si="289"/>
        <v>0</v>
      </c>
      <c r="X1192" s="31">
        <f t="shared" si="289"/>
        <v>0</v>
      </c>
      <c r="Y1192" s="31">
        <f t="shared" si="289"/>
        <v>0</v>
      </c>
      <c r="Z1192" s="31">
        <f t="shared" si="289"/>
        <v>0</v>
      </c>
      <c r="AA1192" s="31">
        <f t="shared" si="289"/>
        <v>0</v>
      </c>
      <c r="AB1192" s="31">
        <f t="shared" si="289"/>
        <v>0</v>
      </c>
      <c r="AC1192" s="31">
        <f t="shared" si="289"/>
        <v>55298.74</v>
      </c>
      <c r="AD1192" s="31">
        <f t="shared" si="289"/>
        <v>270000</v>
      </c>
      <c r="AE1192" s="31">
        <f t="shared" si="289"/>
        <v>0</v>
      </c>
      <c r="AF1192" s="130" t="s">
        <v>776</v>
      </c>
      <c r="AG1192" s="130" t="s">
        <v>776</v>
      </c>
      <c r="AH1192" s="131" t="s">
        <v>776</v>
      </c>
      <c r="AT1192" s="20" t="e">
        <f t="shared" si="287"/>
        <v>#N/A</v>
      </c>
      <c r="BZ1192" s="71">
        <v>4011881.02</v>
      </c>
    </row>
    <row r="1193" spans="1:78" ht="61.5" x14ac:dyDescent="0.85">
      <c r="A1193" s="20">
        <v>1</v>
      </c>
      <c r="B1193" s="66">
        <f>SUBTOTAL(103,$A$963:A1193)</f>
        <v>187</v>
      </c>
      <c r="C1193" s="177" t="s">
        <v>168</v>
      </c>
      <c r="D1193" s="31">
        <f>E1193+F1193+G1193+H1193+I1193+J1193+L1193+N1193+P1193+R1193+T1193+U1193+V1193+W1193+X1193+Y1193+Z1193+AA1193+AB1193+AC1193+AD1193+AE1193</f>
        <v>329863.09999999998</v>
      </c>
      <c r="E1193" s="31">
        <v>0</v>
      </c>
      <c r="F1193" s="31">
        <v>0</v>
      </c>
      <c r="G1193" s="31">
        <v>0</v>
      </c>
      <c r="H1193" s="31">
        <v>0</v>
      </c>
      <c r="I1193" s="31">
        <v>0</v>
      </c>
      <c r="J1193" s="31">
        <v>0</v>
      </c>
      <c r="K1193" s="33">
        <v>0</v>
      </c>
      <c r="L1193" s="31">
        <v>0</v>
      </c>
      <c r="M1193" s="31">
        <v>0</v>
      </c>
      <c r="N1193" s="31">
        <v>0</v>
      </c>
      <c r="O1193" s="31">
        <v>0</v>
      </c>
      <c r="P1193" s="31">
        <v>0</v>
      </c>
      <c r="Q1193" s="31">
        <v>98</v>
      </c>
      <c r="R1193" s="31">
        <v>206761.67</v>
      </c>
      <c r="S1193" s="31">
        <v>0</v>
      </c>
      <c r="T1193" s="31">
        <v>0</v>
      </c>
      <c r="U1193" s="31">
        <v>0</v>
      </c>
      <c r="V1193" s="31">
        <v>0</v>
      </c>
      <c r="W1193" s="31">
        <v>0</v>
      </c>
      <c r="X1193" s="31">
        <v>0</v>
      </c>
      <c r="Y1193" s="31">
        <v>0</v>
      </c>
      <c r="Z1193" s="31">
        <v>0</v>
      </c>
      <c r="AA1193" s="31">
        <v>0</v>
      </c>
      <c r="AB1193" s="31">
        <v>0</v>
      </c>
      <c r="AC1193" s="31">
        <f>ROUND(R1193*1.5%,2)</f>
        <v>3101.43</v>
      </c>
      <c r="AD1193" s="31">
        <v>120000</v>
      </c>
      <c r="AE1193" s="31">
        <v>0</v>
      </c>
      <c r="AF1193" s="34">
        <v>2022</v>
      </c>
      <c r="AG1193" s="34">
        <v>2022</v>
      </c>
      <c r="AH1193" s="35">
        <v>2022</v>
      </c>
      <c r="AT1193" s="20" t="e">
        <f t="shared" si="287"/>
        <v>#N/A</v>
      </c>
      <c r="BZ1193" s="71"/>
    </row>
    <row r="1194" spans="1:78" ht="61.5" x14ac:dyDescent="0.85">
      <c r="A1194" s="20">
        <v>1</v>
      </c>
      <c r="B1194" s="66">
        <f>SUBTOTAL(103,$A$963:A1194)</f>
        <v>188</v>
      </c>
      <c r="C1194" s="177" t="s">
        <v>169</v>
      </c>
      <c r="D1194" s="31">
        <f>E1194+F1194+G1194+H1194+I1194+J1194+L1194+N1194+P1194+R1194+T1194+U1194+V1194+W1194+X1194+Y1194+Z1194+AA1194+AB1194+AC1194+AD1194+AE1194</f>
        <v>3682017.92</v>
      </c>
      <c r="E1194" s="31">
        <v>0</v>
      </c>
      <c r="F1194" s="31">
        <v>0</v>
      </c>
      <c r="G1194" s="31">
        <v>0</v>
      </c>
      <c r="H1194" s="31">
        <v>0</v>
      </c>
      <c r="I1194" s="31">
        <v>0</v>
      </c>
      <c r="J1194" s="31">
        <v>0</v>
      </c>
      <c r="K1194" s="33">
        <v>0</v>
      </c>
      <c r="L1194" s="31">
        <v>0</v>
      </c>
      <c r="M1194" s="31">
        <v>771.1</v>
      </c>
      <c r="N1194" s="31">
        <v>3479820.61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1">
        <v>0</v>
      </c>
      <c r="Y1194" s="31">
        <v>0</v>
      </c>
      <c r="Z1194" s="31">
        <v>0</v>
      </c>
      <c r="AA1194" s="31">
        <v>0</v>
      </c>
      <c r="AB1194" s="31">
        <v>0</v>
      </c>
      <c r="AC1194" s="31">
        <f>ROUND(N1194*1.5%,2)</f>
        <v>52197.31</v>
      </c>
      <c r="AD1194" s="31">
        <v>150000</v>
      </c>
      <c r="AE1194" s="31">
        <v>0</v>
      </c>
      <c r="AF1194" s="34">
        <v>2022</v>
      </c>
      <c r="AG1194" s="34">
        <v>2022</v>
      </c>
      <c r="AH1194" s="35">
        <v>2022</v>
      </c>
      <c r="AT1194" s="20" t="e">
        <f t="shared" si="287"/>
        <v>#N/A</v>
      </c>
      <c r="BZ1194" s="71"/>
    </row>
    <row r="1195" spans="1:78" ht="61.5" x14ac:dyDescent="0.85">
      <c r="B1195" s="24" t="s">
        <v>876</v>
      </c>
      <c r="C1195" s="24"/>
      <c r="D1195" s="31">
        <f>D1196+D1197</f>
        <v>6026117.5699999994</v>
      </c>
      <c r="E1195" s="31">
        <f t="shared" ref="E1195:AE1195" si="290">E1196+E1197</f>
        <v>0</v>
      </c>
      <c r="F1195" s="31">
        <f t="shared" si="290"/>
        <v>0</v>
      </c>
      <c r="G1195" s="31">
        <f t="shared" si="290"/>
        <v>0</v>
      </c>
      <c r="H1195" s="31">
        <f t="shared" si="290"/>
        <v>0</v>
      </c>
      <c r="I1195" s="31">
        <f t="shared" si="290"/>
        <v>0</v>
      </c>
      <c r="J1195" s="31">
        <f t="shared" si="290"/>
        <v>0</v>
      </c>
      <c r="K1195" s="33">
        <f t="shared" si="290"/>
        <v>0</v>
      </c>
      <c r="L1195" s="31">
        <f t="shared" si="290"/>
        <v>0</v>
      </c>
      <c r="M1195" s="31">
        <f t="shared" si="290"/>
        <v>1191.9585999999999</v>
      </c>
      <c r="N1195" s="31">
        <f t="shared" si="290"/>
        <v>5671051.7999999998</v>
      </c>
      <c r="O1195" s="31">
        <f t="shared" si="290"/>
        <v>0</v>
      </c>
      <c r="P1195" s="31">
        <f t="shared" si="290"/>
        <v>0</v>
      </c>
      <c r="Q1195" s="31">
        <f t="shared" si="290"/>
        <v>0</v>
      </c>
      <c r="R1195" s="31">
        <f t="shared" si="290"/>
        <v>0</v>
      </c>
      <c r="S1195" s="31">
        <f t="shared" si="290"/>
        <v>0</v>
      </c>
      <c r="T1195" s="31">
        <f t="shared" si="290"/>
        <v>0</v>
      </c>
      <c r="U1195" s="31">
        <f t="shared" si="290"/>
        <v>0</v>
      </c>
      <c r="V1195" s="31">
        <f t="shared" si="290"/>
        <v>0</v>
      </c>
      <c r="W1195" s="31">
        <f t="shared" si="290"/>
        <v>0</v>
      </c>
      <c r="X1195" s="31">
        <f t="shared" si="290"/>
        <v>0</v>
      </c>
      <c r="Y1195" s="31">
        <f t="shared" si="290"/>
        <v>0</v>
      </c>
      <c r="Z1195" s="31">
        <f t="shared" si="290"/>
        <v>0</v>
      </c>
      <c r="AA1195" s="31">
        <f t="shared" si="290"/>
        <v>0</v>
      </c>
      <c r="AB1195" s="31">
        <f t="shared" si="290"/>
        <v>0</v>
      </c>
      <c r="AC1195" s="31">
        <f t="shared" si="290"/>
        <v>85065.77</v>
      </c>
      <c r="AD1195" s="31">
        <f t="shared" si="290"/>
        <v>270000</v>
      </c>
      <c r="AE1195" s="31">
        <f t="shared" si="290"/>
        <v>0</v>
      </c>
      <c r="AF1195" s="130" t="s">
        <v>776</v>
      </c>
      <c r="AG1195" s="130" t="s">
        <v>776</v>
      </c>
      <c r="AH1195" s="131" t="s">
        <v>776</v>
      </c>
      <c r="AT1195" s="20" t="e">
        <f t="shared" si="287"/>
        <v>#N/A</v>
      </c>
      <c r="BZ1195" s="71">
        <v>6026117.5699999994</v>
      </c>
    </row>
    <row r="1196" spans="1:78" ht="61.5" x14ac:dyDescent="0.85">
      <c r="A1196" s="20">
        <v>1</v>
      </c>
      <c r="B1196" s="66">
        <f>SUBTOTAL(103,$A$963:A1196)</f>
        <v>189</v>
      </c>
      <c r="C1196" s="177" t="s">
        <v>167</v>
      </c>
      <c r="D1196" s="31">
        <f>E1196+F1196+G1196+H1196+I1196+J1196+L1196+N1196+P1196+R1196+T1196+U1196+V1196+W1196+X1196+Y1196+Z1196+AA1196+AB1196+AC1196+AD1196+AE1196</f>
        <v>4388776.2699999996</v>
      </c>
      <c r="E1196" s="31">
        <v>0</v>
      </c>
      <c r="F1196" s="31">
        <v>0</v>
      </c>
      <c r="G1196" s="31">
        <v>0</v>
      </c>
      <c r="H1196" s="31">
        <v>0</v>
      </c>
      <c r="I1196" s="31">
        <v>0</v>
      </c>
      <c r="J1196" s="31">
        <v>0</v>
      </c>
      <c r="K1196" s="33">
        <v>0</v>
      </c>
      <c r="L1196" s="31">
        <v>0</v>
      </c>
      <c r="M1196" s="31">
        <v>878.4</v>
      </c>
      <c r="N1196" s="31">
        <v>4176134.26</v>
      </c>
      <c r="O1196" s="31">
        <v>0</v>
      </c>
      <c r="P1196" s="31">
        <v>0</v>
      </c>
      <c r="Q1196" s="31">
        <v>0</v>
      </c>
      <c r="R1196" s="31">
        <v>0</v>
      </c>
      <c r="S1196" s="31">
        <v>0</v>
      </c>
      <c r="T1196" s="31">
        <v>0</v>
      </c>
      <c r="U1196" s="31">
        <v>0</v>
      </c>
      <c r="V1196" s="31">
        <v>0</v>
      </c>
      <c r="W1196" s="31">
        <v>0</v>
      </c>
      <c r="X1196" s="31">
        <v>0</v>
      </c>
      <c r="Y1196" s="31">
        <v>0</v>
      </c>
      <c r="Z1196" s="31">
        <v>0</v>
      </c>
      <c r="AA1196" s="31">
        <v>0</v>
      </c>
      <c r="AB1196" s="31">
        <v>0</v>
      </c>
      <c r="AC1196" s="31">
        <f>ROUND(N1196*1.5%,2)</f>
        <v>62642.01</v>
      </c>
      <c r="AD1196" s="31">
        <v>150000</v>
      </c>
      <c r="AE1196" s="31">
        <v>0</v>
      </c>
      <c r="AF1196" s="34">
        <v>2022</v>
      </c>
      <c r="AG1196" s="34">
        <v>2022</v>
      </c>
      <c r="AH1196" s="35">
        <v>2022</v>
      </c>
      <c r="AT1196" s="20" t="e">
        <f t="shared" si="287"/>
        <v>#N/A</v>
      </c>
      <c r="BZ1196" s="71"/>
    </row>
    <row r="1197" spans="1:78" ht="61.5" x14ac:dyDescent="0.85">
      <c r="A1197" s="20">
        <v>1</v>
      </c>
      <c r="B1197" s="66">
        <f>SUBTOTAL(103,$A$963:A1197)</f>
        <v>190</v>
      </c>
      <c r="C1197" s="177" t="s">
        <v>166</v>
      </c>
      <c r="D1197" s="31">
        <f>E1197+F1197+G1197+H1197+I1197+J1197+L1197+N1197+P1197+R1197+T1197+U1197+V1197+W1197+X1197+Y1197+Z1197+AA1197+AB1197+AC1197+AD1197+AE1197</f>
        <v>1637341.3</v>
      </c>
      <c r="E1197" s="31">
        <v>0</v>
      </c>
      <c r="F1197" s="31">
        <v>0</v>
      </c>
      <c r="G1197" s="31">
        <v>0</v>
      </c>
      <c r="H1197" s="31">
        <v>0</v>
      </c>
      <c r="I1197" s="31">
        <v>0</v>
      </c>
      <c r="J1197" s="31">
        <v>0</v>
      </c>
      <c r="K1197" s="33">
        <v>0</v>
      </c>
      <c r="L1197" s="31">
        <v>0</v>
      </c>
      <c r="M1197" s="31">
        <v>313.55860000000001</v>
      </c>
      <c r="N1197" s="31">
        <v>1494917.54</v>
      </c>
      <c r="O1197" s="31">
        <v>0</v>
      </c>
      <c r="P1197" s="31">
        <v>0</v>
      </c>
      <c r="Q1197" s="31">
        <v>0</v>
      </c>
      <c r="R1197" s="31">
        <v>0</v>
      </c>
      <c r="S1197" s="31">
        <v>0</v>
      </c>
      <c r="T1197" s="31">
        <v>0</v>
      </c>
      <c r="U1197" s="31">
        <v>0</v>
      </c>
      <c r="V1197" s="31">
        <v>0</v>
      </c>
      <c r="W1197" s="31">
        <v>0</v>
      </c>
      <c r="X1197" s="31">
        <v>0</v>
      </c>
      <c r="Y1197" s="31">
        <v>0</v>
      </c>
      <c r="Z1197" s="31">
        <v>0</v>
      </c>
      <c r="AA1197" s="31">
        <v>0</v>
      </c>
      <c r="AB1197" s="31">
        <v>0</v>
      </c>
      <c r="AC1197" s="31">
        <f>ROUND(N1197*1.5%,2)</f>
        <v>22423.759999999998</v>
      </c>
      <c r="AD1197" s="31">
        <v>120000</v>
      </c>
      <c r="AE1197" s="31">
        <v>0</v>
      </c>
      <c r="AF1197" s="34">
        <v>2022</v>
      </c>
      <c r="AG1197" s="34">
        <v>2022</v>
      </c>
      <c r="AH1197" s="35">
        <v>2022</v>
      </c>
      <c r="AT1197" s="20" t="e">
        <f t="shared" si="287"/>
        <v>#N/A</v>
      </c>
      <c r="BZ1197" s="71"/>
    </row>
    <row r="1198" spans="1:78" ht="61.5" x14ac:dyDescent="0.85">
      <c r="B1198" s="24" t="s">
        <v>877</v>
      </c>
      <c r="C1198" s="24"/>
      <c r="D1198" s="31">
        <f>SUM(D1199:D1201)</f>
        <v>12459674.15</v>
      </c>
      <c r="E1198" s="31">
        <f t="shared" ref="E1198:AE1198" si="291">SUM(E1199:E1201)</f>
        <v>0</v>
      </c>
      <c r="F1198" s="31">
        <f t="shared" si="291"/>
        <v>0</v>
      </c>
      <c r="G1198" s="31">
        <f t="shared" si="291"/>
        <v>0</v>
      </c>
      <c r="H1198" s="31">
        <f t="shared" si="291"/>
        <v>0</v>
      </c>
      <c r="I1198" s="31">
        <f t="shared" si="291"/>
        <v>0</v>
      </c>
      <c r="J1198" s="31">
        <f t="shared" si="291"/>
        <v>0</v>
      </c>
      <c r="K1198" s="33">
        <f t="shared" si="291"/>
        <v>0</v>
      </c>
      <c r="L1198" s="31">
        <f t="shared" si="291"/>
        <v>0</v>
      </c>
      <c r="M1198" s="31">
        <f t="shared" si="291"/>
        <v>2891.3100000000004</v>
      </c>
      <c r="N1198" s="31">
        <f t="shared" si="291"/>
        <v>11802634.630000001</v>
      </c>
      <c r="O1198" s="31">
        <f t="shared" si="291"/>
        <v>0</v>
      </c>
      <c r="P1198" s="31">
        <f t="shared" si="291"/>
        <v>0</v>
      </c>
      <c r="Q1198" s="31">
        <f t="shared" si="291"/>
        <v>0</v>
      </c>
      <c r="R1198" s="31">
        <f t="shared" si="291"/>
        <v>0</v>
      </c>
      <c r="S1198" s="31">
        <f t="shared" si="291"/>
        <v>0</v>
      </c>
      <c r="T1198" s="31">
        <f t="shared" si="291"/>
        <v>0</v>
      </c>
      <c r="U1198" s="31">
        <f t="shared" si="291"/>
        <v>0</v>
      </c>
      <c r="V1198" s="31">
        <f t="shared" si="291"/>
        <v>0</v>
      </c>
      <c r="W1198" s="31">
        <f t="shared" si="291"/>
        <v>0</v>
      </c>
      <c r="X1198" s="31">
        <f t="shared" si="291"/>
        <v>0</v>
      </c>
      <c r="Y1198" s="31">
        <f t="shared" si="291"/>
        <v>0</v>
      </c>
      <c r="Z1198" s="31">
        <f t="shared" si="291"/>
        <v>0</v>
      </c>
      <c r="AA1198" s="31">
        <f t="shared" si="291"/>
        <v>0</v>
      </c>
      <c r="AB1198" s="31">
        <f t="shared" si="291"/>
        <v>0</v>
      </c>
      <c r="AC1198" s="31">
        <f t="shared" si="291"/>
        <v>177039.52000000002</v>
      </c>
      <c r="AD1198" s="31">
        <f t="shared" si="291"/>
        <v>480000</v>
      </c>
      <c r="AE1198" s="31">
        <f t="shared" si="291"/>
        <v>0</v>
      </c>
      <c r="AF1198" s="130" t="s">
        <v>776</v>
      </c>
      <c r="AG1198" s="130" t="s">
        <v>776</v>
      </c>
      <c r="AH1198" s="131" t="s">
        <v>776</v>
      </c>
      <c r="AT1198" s="20" t="e">
        <f t="shared" si="287"/>
        <v>#N/A</v>
      </c>
      <c r="BZ1198" s="71">
        <v>12459674.15</v>
      </c>
    </row>
    <row r="1199" spans="1:78" ht="61.5" x14ac:dyDescent="0.85">
      <c r="A1199" s="20">
        <v>1</v>
      </c>
      <c r="B1199" s="66">
        <f>SUBTOTAL(103,$A$963:A1199)</f>
        <v>191</v>
      </c>
      <c r="C1199" s="177" t="s">
        <v>163</v>
      </c>
      <c r="D1199" s="31">
        <f>E1199+F1199+G1199+H1199+I1199+J1199+L1199+N1199+P1199+R1199+T1199+U1199+V1199+W1199+X1199+Y1199+Z1199+AA1199+AB1199+AC1199+AD1199+AE1199</f>
        <v>5095413.53</v>
      </c>
      <c r="E1199" s="31">
        <v>0</v>
      </c>
      <c r="F1199" s="31">
        <v>0</v>
      </c>
      <c r="G1199" s="31">
        <v>0</v>
      </c>
      <c r="H1199" s="31">
        <v>0</v>
      </c>
      <c r="I1199" s="31">
        <v>0</v>
      </c>
      <c r="J1199" s="31">
        <v>0</v>
      </c>
      <c r="K1199" s="33">
        <v>0</v>
      </c>
      <c r="L1199" s="31">
        <v>0</v>
      </c>
      <c r="M1199" s="31">
        <v>1276.79</v>
      </c>
      <c r="N1199" s="31">
        <v>4842771.95</v>
      </c>
      <c r="O1199" s="31">
        <v>0</v>
      </c>
      <c r="P1199" s="31">
        <v>0</v>
      </c>
      <c r="Q1199" s="31">
        <v>0</v>
      </c>
      <c r="R1199" s="31">
        <v>0</v>
      </c>
      <c r="S1199" s="31">
        <v>0</v>
      </c>
      <c r="T1199" s="31">
        <v>0</v>
      </c>
      <c r="U1199" s="31">
        <v>0</v>
      </c>
      <c r="V1199" s="31">
        <v>0</v>
      </c>
      <c r="W1199" s="31">
        <v>0</v>
      </c>
      <c r="X1199" s="31">
        <v>0</v>
      </c>
      <c r="Y1199" s="31">
        <v>0</v>
      </c>
      <c r="Z1199" s="31">
        <v>0</v>
      </c>
      <c r="AA1199" s="31">
        <v>0</v>
      </c>
      <c r="AB1199" s="31">
        <v>0</v>
      </c>
      <c r="AC1199" s="31">
        <f>ROUND(N1199*1.5%,2)</f>
        <v>72641.58</v>
      </c>
      <c r="AD1199" s="31">
        <v>180000</v>
      </c>
      <c r="AE1199" s="31">
        <v>0</v>
      </c>
      <c r="AF1199" s="34">
        <v>2022</v>
      </c>
      <c r="AG1199" s="34">
        <v>2022</v>
      </c>
      <c r="AH1199" s="35">
        <v>2022</v>
      </c>
      <c r="AT1199" s="20" t="e">
        <f t="shared" si="287"/>
        <v>#N/A</v>
      </c>
      <c r="BZ1199" s="71"/>
    </row>
    <row r="1200" spans="1:78" ht="61.5" x14ac:dyDescent="0.85">
      <c r="A1200" s="20">
        <v>1</v>
      </c>
      <c r="B1200" s="66">
        <f>SUBTOTAL(103,$A$963:A1200)</f>
        <v>192</v>
      </c>
      <c r="C1200" s="177" t="s">
        <v>164</v>
      </c>
      <c r="D1200" s="31">
        <f>E1200+F1200+G1200+H1200+I1200+J1200+L1200+N1200+P1200+R1200+T1200+U1200+V1200+W1200+X1200+Y1200+Z1200+AA1200+AB1200+AC1200+AD1200+AE1200</f>
        <v>3457309.86</v>
      </c>
      <c r="E1200" s="31">
        <v>0</v>
      </c>
      <c r="F1200" s="31">
        <v>0</v>
      </c>
      <c r="G1200" s="31">
        <v>0</v>
      </c>
      <c r="H1200" s="31">
        <v>0</v>
      </c>
      <c r="I1200" s="31">
        <v>0</v>
      </c>
      <c r="J1200" s="31">
        <v>0</v>
      </c>
      <c r="K1200" s="33">
        <v>0</v>
      </c>
      <c r="L1200" s="31">
        <v>0</v>
      </c>
      <c r="M1200" s="31">
        <v>866.32</v>
      </c>
      <c r="N1200" s="31">
        <v>3258433.36</v>
      </c>
      <c r="O1200" s="31">
        <v>0</v>
      </c>
      <c r="P1200" s="31">
        <v>0</v>
      </c>
      <c r="Q1200" s="31">
        <v>0</v>
      </c>
      <c r="R1200" s="31">
        <v>0</v>
      </c>
      <c r="S1200" s="31">
        <v>0</v>
      </c>
      <c r="T1200" s="31">
        <v>0</v>
      </c>
      <c r="U1200" s="31">
        <v>0</v>
      </c>
      <c r="V1200" s="31">
        <v>0</v>
      </c>
      <c r="W1200" s="31">
        <v>0</v>
      </c>
      <c r="X1200" s="31">
        <v>0</v>
      </c>
      <c r="Y1200" s="31">
        <v>0</v>
      </c>
      <c r="Z1200" s="31">
        <v>0</v>
      </c>
      <c r="AA1200" s="31">
        <v>0</v>
      </c>
      <c r="AB1200" s="31">
        <v>0</v>
      </c>
      <c r="AC1200" s="31">
        <f>ROUND(N1200*1.5%,2)</f>
        <v>48876.5</v>
      </c>
      <c r="AD1200" s="31">
        <v>150000</v>
      </c>
      <c r="AE1200" s="31">
        <v>0</v>
      </c>
      <c r="AF1200" s="34">
        <v>2022</v>
      </c>
      <c r="AG1200" s="34">
        <v>2022</v>
      </c>
      <c r="AH1200" s="35">
        <v>2022</v>
      </c>
      <c r="AT1200" s="20" t="e">
        <f t="shared" si="287"/>
        <v>#N/A</v>
      </c>
      <c r="BZ1200" s="71"/>
    </row>
    <row r="1201" spans="1:82" ht="61.5" x14ac:dyDescent="0.85">
      <c r="A1201" s="20">
        <v>1</v>
      </c>
      <c r="B1201" s="66">
        <f>SUBTOTAL(103,$A$963:A1201)</f>
        <v>193</v>
      </c>
      <c r="C1201" s="177" t="s">
        <v>165</v>
      </c>
      <c r="D1201" s="31">
        <f>E1201+F1201+G1201+H1201+I1201+J1201+L1201+N1201+P1201+R1201+T1201+U1201+V1201+W1201+X1201+Y1201+Z1201+AA1201+AB1201+AC1201+AD1201+AE1201</f>
        <v>3906950.76</v>
      </c>
      <c r="E1201" s="31">
        <v>0</v>
      </c>
      <c r="F1201" s="31">
        <v>0</v>
      </c>
      <c r="G1201" s="31">
        <v>0</v>
      </c>
      <c r="H1201" s="31">
        <v>0</v>
      </c>
      <c r="I1201" s="31">
        <v>0</v>
      </c>
      <c r="J1201" s="31">
        <v>0</v>
      </c>
      <c r="K1201" s="33">
        <v>0</v>
      </c>
      <c r="L1201" s="31">
        <v>0</v>
      </c>
      <c r="M1201" s="31">
        <v>748.2</v>
      </c>
      <c r="N1201" s="31">
        <v>3701429.32</v>
      </c>
      <c r="O1201" s="31">
        <v>0</v>
      </c>
      <c r="P1201" s="31">
        <v>0</v>
      </c>
      <c r="Q1201" s="31">
        <v>0</v>
      </c>
      <c r="R1201" s="31">
        <v>0</v>
      </c>
      <c r="S1201" s="31">
        <v>0</v>
      </c>
      <c r="T1201" s="31">
        <v>0</v>
      </c>
      <c r="U1201" s="31">
        <v>0</v>
      </c>
      <c r="V1201" s="31">
        <v>0</v>
      </c>
      <c r="W1201" s="31">
        <v>0</v>
      </c>
      <c r="X1201" s="31">
        <v>0</v>
      </c>
      <c r="Y1201" s="31">
        <v>0</v>
      </c>
      <c r="Z1201" s="31">
        <v>0</v>
      </c>
      <c r="AA1201" s="31">
        <v>0</v>
      </c>
      <c r="AB1201" s="31">
        <v>0</v>
      </c>
      <c r="AC1201" s="31">
        <f>ROUND(N1201*1.5%,2)</f>
        <v>55521.440000000002</v>
      </c>
      <c r="AD1201" s="31">
        <v>150000</v>
      </c>
      <c r="AE1201" s="31">
        <v>0</v>
      </c>
      <c r="AF1201" s="34">
        <v>2022</v>
      </c>
      <c r="AG1201" s="34">
        <v>2022</v>
      </c>
      <c r="AH1201" s="35">
        <v>2022</v>
      </c>
      <c r="AT1201" s="20" t="e">
        <f t="shared" si="287"/>
        <v>#N/A</v>
      </c>
      <c r="BZ1201" s="71"/>
    </row>
    <row r="1202" spans="1:82" ht="61.5" x14ac:dyDescent="0.85">
      <c r="B1202" s="24" t="s">
        <v>878</v>
      </c>
      <c r="C1202" s="24"/>
      <c r="D1202" s="31">
        <f t="shared" ref="D1202:AE1202" si="292">SUM(D1203:D1206)</f>
        <v>12269019.870000001</v>
      </c>
      <c r="E1202" s="31">
        <f t="shared" si="292"/>
        <v>0</v>
      </c>
      <c r="F1202" s="31">
        <f t="shared" si="292"/>
        <v>0</v>
      </c>
      <c r="G1202" s="31">
        <f t="shared" si="292"/>
        <v>0</v>
      </c>
      <c r="H1202" s="31">
        <f t="shared" si="292"/>
        <v>0</v>
      </c>
      <c r="I1202" s="31">
        <f t="shared" si="292"/>
        <v>1819969.95</v>
      </c>
      <c r="J1202" s="31">
        <f t="shared" si="292"/>
        <v>0</v>
      </c>
      <c r="K1202" s="33">
        <f t="shared" si="292"/>
        <v>0</v>
      </c>
      <c r="L1202" s="31">
        <f t="shared" si="292"/>
        <v>0</v>
      </c>
      <c r="M1202" s="31">
        <f t="shared" si="292"/>
        <v>995</v>
      </c>
      <c r="N1202" s="31">
        <f t="shared" si="292"/>
        <v>4971124.1399999997</v>
      </c>
      <c r="O1202" s="31">
        <f t="shared" si="292"/>
        <v>146</v>
      </c>
      <c r="P1202" s="31">
        <f t="shared" si="292"/>
        <v>365939.61</v>
      </c>
      <c r="Q1202" s="31">
        <f t="shared" si="292"/>
        <v>1414.36</v>
      </c>
      <c r="R1202" s="31">
        <f t="shared" si="292"/>
        <v>4221311</v>
      </c>
      <c r="S1202" s="31">
        <f t="shared" si="292"/>
        <v>0</v>
      </c>
      <c r="T1202" s="31">
        <f t="shared" si="292"/>
        <v>0</v>
      </c>
      <c r="U1202" s="31">
        <f t="shared" si="292"/>
        <v>0</v>
      </c>
      <c r="V1202" s="31">
        <f t="shared" si="292"/>
        <v>0</v>
      </c>
      <c r="W1202" s="31">
        <f t="shared" si="292"/>
        <v>0</v>
      </c>
      <c r="X1202" s="31">
        <f t="shared" si="292"/>
        <v>0</v>
      </c>
      <c r="Y1202" s="31">
        <f t="shared" si="292"/>
        <v>0</v>
      </c>
      <c r="Z1202" s="31">
        <f t="shared" si="292"/>
        <v>0</v>
      </c>
      <c r="AA1202" s="31">
        <f t="shared" si="292"/>
        <v>0</v>
      </c>
      <c r="AB1202" s="31">
        <f t="shared" si="292"/>
        <v>0</v>
      </c>
      <c r="AC1202" s="31">
        <f t="shared" si="292"/>
        <v>170675.16999999998</v>
      </c>
      <c r="AD1202" s="31">
        <f t="shared" si="292"/>
        <v>720000</v>
      </c>
      <c r="AE1202" s="31">
        <f t="shared" si="292"/>
        <v>0</v>
      </c>
      <c r="AF1202" s="130" t="s">
        <v>776</v>
      </c>
      <c r="AG1202" s="130" t="s">
        <v>776</v>
      </c>
      <c r="AH1202" s="131" t="s">
        <v>776</v>
      </c>
      <c r="AT1202" s="20" t="e">
        <f t="shared" si="287"/>
        <v>#N/A</v>
      </c>
      <c r="BZ1202" s="71">
        <v>11707868.220000001</v>
      </c>
    </row>
    <row r="1203" spans="1:82" ht="61.5" x14ac:dyDescent="0.85">
      <c r="A1203" s="20">
        <v>1</v>
      </c>
      <c r="B1203" s="66">
        <f>SUBTOTAL(103,$A$963:A1203)</f>
        <v>194</v>
      </c>
      <c r="C1203" s="177" t="s">
        <v>158</v>
      </c>
      <c r="D1203" s="31">
        <f>E1203+F1203+G1203+H1203+I1203+J1203+L1203+N1203+P1203+R1203+T1203+U1203+V1203+W1203+X1203+Y1203+Z1203+AA1203+AB1203+AC1203+AD1203+AE1203</f>
        <v>2147269.5</v>
      </c>
      <c r="E1203" s="31">
        <v>0</v>
      </c>
      <c r="F1203" s="31">
        <v>0</v>
      </c>
      <c r="G1203" s="31">
        <v>0</v>
      </c>
      <c r="H1203" s="31">
        <v>0</v>
      </c>
      <c r="I1203" s="31">
        <v>1819969.95</v>
      </c>
      <c r="J1203" s="31">
        <v>0</v>
      </c>
      <c r="K1203" s="86">
        <v>0</v>
      </c>
      <c r="L1203" s="31">
        <v>0</v>
      </c>
      <c r="M1203" s="31">
        <v>0</v>
      </c>
      <c r="N1203" s="31">
        <v>0</v>
      </c>
      <c r="O1203" s="31">
        <v>0</v>
      </c>
      <c r="P1203" s="31">
        <v>0</v>
      </c>
      <c r="Q1203" s="31">
        <v>0</v>
      </c>
      <c r="R1203" s="31">
        <v>0</v>
      </c>
      <c r="S1203" s="31">
        <v>0</v>
      </c>
      <c r="T1203" s="31">
        <v>0</v>
      </c>
      <c r="U1203" s="31">
        <v>0</v>
      </c>
      <c r="V1203" s="31">
        <v>0</v>
      </c>
      <c r="W1203" s="31">
        <v>0</v>
      </c>
      <c r="X1203" s="31">
        <v>0</v>
      </c>
      <c r="Y1203" s="31">
        <v>0</v>
      </c>
      <c r="Z1203" s="31">
        <v>0</v>
      </c>
      <c r="AA1203" s="31">
        <v>0</v>
      </c>
      <c r="AB1203" s="31">
        <v>0</v>
      </c>
      <c r="AC1203" s="31">
        <v>27299.55</v>
      </c>
      <c r="AD1203" s="31">
        <v>300000</v>
      </c>
      <c r="AE1203" s="31">
        <v>0</v>
      </c>
      <c r="AF1203" s="34">
        <v>2022</v>
      </c>
      <c r="AG1203" s="34">
        <v>2022</v>
      </c>
      <c r="AH1203" s="35">
        <v>2022</v>
      </c>
      <c r="AT1203" s="20" t="e">
        <f t="shared" si="287"/>
        <v>#N/A</v>
      </c>
      <c r="BZ1203" s="71"/>
    </row>
    <row r="1204" spans="1:82" ht="61.5" x14ac:dyDescent="0.85">
      <c r="A1204" s="20">
        <v>1</v>
      </c>
      <c r="B1204" s="66">
        <f>SUBTOTAL(103,$A$963:A1204)</f>
        <v>195</v>
      </c>
      <c r="C1204" s="177" t="s">
        <v>159</v>
      </c>
      <c r="D1204" s="31">
        <f>E1204+F1204+G1204+H1204+I1204+J1204+L1204+N1204+P1204+R1204+T1204+U1204+V1204+W1204+X1204+Y1204+Z1204+AA1204+AB1204+AC1204+AD1204+AE1204</f>
        <v>491428.7</v>
      </c>
      <c r="E1204" s="31">
        <v>0</v>
      </c>
      <c r="F1204" s="31">
        <v>0</v>
      </c>
      <c r="G1204" s="31">
        <v>0</v>
      </c>
      <c r="H1204" s="31">
        <v>0</v>
      </c>
      <c r="I1204" s="31">
        <v>0</v>
      </c>
      <c r="J1204" s="31">
        <v>0</v>
      </c>
      <c r="K1204" s="33">
        <v>0</v>
      </c>
      <c r="L1204" s="31">
        <v>0</v>
      </c>
      <c r="M1204" s="31">
        <v>0</v>
      </c>
      <c r="N1204" s="31">
        <v>0</v>
      </c>
      <c r="O1204" s="31">
        <v>146</v>
      </c>
      <c r="P1204" s="31">
        <v>365939.61</v>
      </c>
      <c r="Q1204" s="31">
        <v>0</v>
      </c>
      <c r="R1204" s="31">
        <v>0</v>
      </c>
      <c r="S1204" s="31">
        <v>0</v>
      </c>
      <c r="T1204" s="31">
        <v>0</v>
      </c>
      <c r="U1204" s="31">
        <v>0</v>
      </c>
      <c r="V1204" s="31">
        <v>0</v>
      </c>
      <c r="W1204" s="31">
        <v>0</v>
      </c>
      <c r="X1204" s="31">
        <v>0</v>
      </c>
      <c r="Y1204" s="31">
        <v>0</v>
      </c>
      <c r="Z1204" s="31">
        <v>0</v>
      </c>
      <c r="AA1204" s="31">
        <v>0</v>
      </c>
      <c r="AB1204" s="31">
        <v>0</v>
      </c>
      <c r="AC1204" s="31">
        <f>ROUND(P1204*1.5%,2)</f>
        <v>5489.09</v>
      </c>
      <c r="AD1204" s="31">
        <v>120000</v>
      </c>
      <c r="AE1204" s="31">
        <v>0</v>
      </c>
      <c r="AF1204" s="34">
        <v>2022</v>
      </c>
      <c r="AG1204" s="34">
        <v>2022</v>
      </c>
      <c r="AH1204" s="35">
        <v>2022</v>
      </c>
      <c r="AT1204" s="20" t="e">
        <f t="shared" si="287"/>
        <v>#N/A</v>
      </c>
      <c r="BZ1204" s="71"/>
    </row>
    <row r="1205" spans="1:82" ht="61.5" x14ac:dyDescent="0.85">
      <c r="A1205" s="20">
        <v>1</v>
      </c>
      <c r="B1205" s="66">
        <f>SUBTOTAL(103,$A$963:A1205)</f>
        <v>196</v>
      </c>
      <c r="C1205" s="24" t="s">
        <v>150</v>
      </c>
      <c r="D1205" s="31">
        <f>E1205+F1205+G1205+H1205+I1205+J1205+L1205+N1205+P1205+R1205+T1205+U1205+V1205+W1205+X1205+Y1205+Z1205+AA1205+AB1205+AC1205+AD1205+AE1205</f>
        <v>4434630.67</v>
      </c>
      <c r="E1205" s="31">
        <v>0</v>
      </c>
      <c r="F1205" s="31">
        <v>0</v>
      </c>
      <c r="G1205" s="31">
        <v>0</v>
      </c>
      <c r="H1205" s="31">
        <v>0</v>
      </c>
      <c r="I1205" s="31">
        <v>0</v>
      </c>
      <c r="J1205" s="31">
        <v>0</v>
      </c>
      <c r="K1205" s="33">
        <v>0</v>
      </c>
      <c r="L1205" s="31">
        <v>0</v>
      </c>
      <c r="M1205" s="31">
        <v>0</v>
      </c>
      <c r="N1205" s="31">
        <v>0</v>
      </c>
      <c r="O1205" s="31">
        <v>0</v>
      </c>
      <c r="P1205" s="31">
        <v>0</v>
      </c>
      <c r="Q1205" s="31">
        <v>1414.36</v>
      </c>
      <c r="R1205" s="31">
        <v>4221311</v>
      </c>
      <c r="S1205" s="31">
        <v>0</v>
      </c>
      <c r="T1205" s="31">
        <v>0</v>
      </c>
      <c r="U1205" s="31">
        <v>0</v>
      </c>
      <c r="V1205" s="31">
        <v>0</v>
      </c>
      <c r="W1205" s="31">
        <v>0</v>
      </c>
      <c r="X1205" s="31">
        <v>0</v>
      </c>
      <c r="Y1205" s="31">
        <v>0</v>
      </c>
      <c r="Z1205" s="31">
        <v>0</v>
      </c>
      <c r="AA1205" s="31">
        <v>0</v>
      </c>
      <c r="AB1205" s="31">
        <v>0</v>
      </c>
      <c r="AC1205" s="31">
        <f>ROUND(R1205*1.5%,2)</f>
        <v>63319.67</v>
      </c>
      <c r="AD1205" s="31">
        <v>150000</v>
      </c>
      <c r="AE1205" s="31">
        <v>0</v>
      </c>
      <c r="AF1205" s="34">
        <v>2021</v>
      </c>
      <c r="AG1205" s="34">
        <v>2021</v>
      </c>
      <c r="AH1205" s="35">
        <v>2021</v>
      </c>
      <c r="AT1205" s="20" t="e">
        <f t="shared" si="287"/>
        <v>#N/A</v>
      </c>
      <c r="BZ1205" s="71"/>
      <c r="CD1205" s="20" t="e">
        <f>VLOOKUP(C1205,CE:CF,2,FALSE)</f>
        <v>#N/A</v>
      </c>
    </row>
    <row r="1206" spans="1:82" ht="61.5" x14ac:dyDescent="0.85">
      <c r="A1206" s="20">
        <v>1</v>
      </c>
      <c r="B1206" s="66">
        <f>SUBTOTAL(103,$A$963:A1206)</f>
        <v>197</v>
      </c>
      <c r="C1206" s="177" t="s">
        <v>139</v>
      </c>
      <c r="D1206" s="31">
        <f>E1206+F1206+G1206+H1206+I1206+J1206+L1206+N1206+P1206+R1206+T1206+U1206+V1206+W1206+X1206+Y1206+Z1206+AA1206+AB1206+AC1206+AD1206+AE1206</f>
        <v>5195691</v>
      </c>
      <c r="E1206" s="31">
        <v>0</v>
      </c>
      <c r="F1206" s="31">
        <v>0</v>
      </c>
      <c r="G1206" s="31">
        <v>0</v>
      </c>
      <c r="H1206" s="31">
        <v>0</v>
      </c>
      <c r="I1206" s="31">
        <v>0</v>
      </c>
      <c r="J1206" s="31">
        <v>0</v>
      </c>
      <c r="K1206" s="33">
        <v>0</v>
      </c>
      <c r="L1206" s="31">
        <v>0</v>
      </c>
      <c r="M1206" s="31">
        <v>995</v>
      </c>
      <c r="N1206" s="31">
        <v>4971124.1399999997</v>
      </c>
      <c r="O1206" s="31">
        <v>0</v>
      </c>
      <c r="P1206" s="31">
        <v>0</v>
      </c>
      <c r="Q1206" s="31">
        <v>0</v>
      </c>
      <c r="R1206" s="31">
        <v>0</v>
      </c>
      <c r="S1206" s="31">
        <v>0</v>
      </c>
      <c r="T1206" s="31">
        <v>0</v>
      </c>
      <c r="U1206" s="31">
        <v>0</v>
      </c>
      <c r="V1206" s="31">
        <v>0</v>
      </c>
      <c r="W1206" s="31">
        <v>0</v>
      </c>
      <c r="X1206" s="31">
        <v>0</v>
      </c>
      <c r="Y1206" s="31">
        <v>0</v>
      </c>
      <c r="Z1206" s="31">
        <v>0</v>
      </c>
      <c r="AA1206" s="31">
        <v>0</v>
      </c>
      <c r="AB1206" s="31">
        <v>0</v>
      </c>
      <c r="AC1206" s="31">
        <f>ROUND(N1206*1.5%,2)</f>
        <v>74566.86</v>
      </c>
      <c r="AD1206" s="31">
        <v>150000</v>
      </c>
      <c r="AE1206" s="31">
        <v>0</v>
      </c>
      <c r="AF1206" s="34">
        <v>2022</v>
      </c>
      <c r="AG1206" s="34">
        <v>2022</v>
      </c>
      <c r="AH1206" s="35">
        <v>2022</v>
      </c>
      <c r="AT1206" s="20" t="e">
        <f>VLOOKUP(C1206,AW$1206:AX$1206,2,FALSE)</f>
        <v>#N/A</v>
      </c>
      <c r="BZ1206" s="71"/>
    </row>
    <row r="1207" spans="1:82" ht="61.5" x14ac:dyDescent="0.85">
      <c r="B1207" s="24" t="s">
        <v>879</v>
      </c>
      <c r="C1207" s="129"/>
      <c r="D1207" s="31">
        <f>D1208+D1209</f>
        <v>9221698.8000000007</v>
      </c>
      <c r="E1207" s="31">
        <f t="shared" ref="E1207:AE1207" si="293">E1208+E1209</f>
        <v>0</v>
      </c>
      <c r="F1207" s="31">
        <f t="shared" si="293"/>
        <v>0</v>
      </c>
      <c r="G1207" s="31">
        <f t="shared" si="293"/>
        <v>0</v>
      </c>
      <c r="H1207" s="31">
        <f t="shared" si="293"/>
        <v>0</v>
      </c>
      <c r="I1207" s="31">
        <f t="shared" si="293"/>
        <v>0</v>
      </c>
      <c r="J1207" s="31">
        <f t="shared" si="293"/>
        <v>0</v>
      </c>
      <c r="K1207" s="33">
        <f t="shared" si="293"/>
        <v>0</v>
      </c>
      <c r="L1207" s="31">
        <f t="shared" si="293"/>
        <v>0</v>
      </c>
      <c r="M1207" s="31">
        <f t="shared" si="293"/>
        <v>1766</v>
      </c>
      <c r="N1207" s="31">
        <f t="shared" si="293"/>
        <v>8789851.0299999993</v>
      </c>
      <c r="O1207" s="31">
        <f t="shared" si="293"/>
        <v>0</v>
      </c>
      <c r="P1207" s="31">
        <f t="shared" si="293"/>
        <v>0</v>
      </c>
      <c r="Q1207" s="31">
        <f t="shared" si="293"/>
        <v>0</v>
      </c>
      <c r="R1207" s="31">
        <f t="shared" si="293"/>
        <v>0</v>
      </c>
      <c r="S1207" s="31">
        <f t="shared" si="293"/>
        <v>0</v>
      </c>
      <c r="T1207" s="31">
        <f t="shared" si="293"/>
        <v>0</v>
      </c>
      <c r="U1207" s="31">
        <f t="shared" si="293"/>
        <v>0</v>
      </c>
      <c r="V1207" s="31">
        <f t="shared" si="293"/>
        <v>0</v>
      </c>
      <c r="W1207" s="31">
        <f t="shared" si="293"/>
        <v>0</v>
      </c>
      <c r="X1207" s="31">
        <f t="shared" si="293"/>
        <v>0</v>
      </c>
      <c r="Y1207" s="31">
        <f t="shared" si="293"/>
        <v>0</v>
      </c>
      <c r="Z1207" s="31">
        <f t="shared" si="293"/>
        <v>0</v>
      </c>
      <c r="AA1207" s="31">
        <f t="shared" si="293"/>
        <v>0</v>
      </c>
      <c r="AB1207" s="31">
        <f t="shared" si="293"/>
        <v>0</v>
      </c>
      <c r="AC1207" s="31">
        <f t="shared" si="293"/>
        <v>131847.76999999999</v>
      </c>
      <c r="AD1207" s="31">
        <f t="shared" si="293"/>
        <v>300000</v>
      </c>
      <c r="AE1207" s="31">
        <f t="shared" si="293"/>
        <v>0</v>
      </c>
      <c r="AF1207" s="130" t="s">
        <v>776</v>
      </c>
      <c r="AG1207" s="130" t="s">
        <v>776</v>
      </c>
      <c r="AH1207" s="131" t="s">
        <v>776</v>
      </c>
      <c r="AT1207" s="20" t="e">
        <f t="shared" ref="AT1207:AT1232" si="294">VLOOKUP(C1207,AW:AX,2,FALSE)</f>
        <v>#N/A</v>
      </c>
      <c r="BZ1207" s="71">
        <v>9221698.8000000007</v>
      </c>
    </row>
    <row r="1208" spans="1:82" ht="61.5" x14ac:dyDescent="0.85">
      <c r="A1208" s="20">
        <v>1</v>
      </c>
      <c r="B1208" s="66">
        <f>SUBTOTAL(103,$A$963:A1208)</f>
        <v>198</v>
      </c>
      <c r="C1208" s="177" t="s">
        <v>101</v>
      </c>
      <c r="D1208" s="31">
        <f>E1208+F1208+G1208+H1208+I1208+J1208+L1208+N1208+P1208+R1208+T1208+U1208+V1208+W1208+X1208+Y1208+Z1208+AA1208+AB1208+AC1208+AD1208+AE1208</f>
        <v>4177440</v>
      </c>
      <c r="E1208" s="31">
        <v>0</v>
      </c>
      <c r="F1208" s="31">
        <v>0</v>
      </c>
      <c r="G1208" s="31">
        <v>0</v>
      </c>
      <c r="H1208" s="31">
        <v>0</v>
      </c>
      <c r="I1208" s="31">
        <v>0</v>
      </c>
      <c r="J1208" s="31">
        <v>0</v>
      </c>
      <c r="K1208" s="33">
        <v>0</v>
      </c>
      <c r="L1208" s="31">
        <v>0</v>
      </c>
      <c r="M1208" s="31">
        <v>800</v>
      </c>
      <c r="N1208" s="31">
        <v>3967921.18</v>
      </c>
      <c r="O1208" s="31">
        <v>0</v>
      </c>
      <c r="P1208" s="31">
        <v>0</v>
      </c>
      <c r="Q1208" s="31">
        <v>0</v>
      </c>
      <c r="R1208" s="31">
        <v>0</v>
      </c>
      <c r="S1208" s="31">
        <v>0</v>
      </c>
      <c r="T1208" s="31">
        <v>0</v>
      </c>
      <c r="U1208" s="31">
        <v>0</v>
      </c>
      <c r="V1208" s="31">
        <v>0</v>
      </c>
      <c r="W1208" s="31">
        <v>0</v>
      </c>
      <c r="X1208" s="31">
        <v>0</v>
      </c>
      <c r="Y1208" s="31">
        <v>0</v>
      </c>
      <c r="Z1208" s="31">
        <v>0</v>
      </c>
      <c r="AA1208" s="31">
        <v>0</v>
      </c>
      <c r="AB1208" s="31">
        <v>0</v>
      </c>
      <c r="AC1208" s="31">
        <f>ROUND(N1208*1.5%,2)</f>
        <v>59518.82</v>
      </c>
      <c r="AD1208" s="31">
        <v>150000</v>
      </c>
      <c r="AE1208" s="31">
        <v>0</v>
      </c>
      <c r="AF1208" s="34">
        <v>2022</v>
      </c>
      <c r="AG1208" s="34">
        <v>2022</v>
      </c>
      <c r="AH1208" s="35">
        <v>2022</v>
      </c>
      <c r="AT1208" s="20" t="e">
        <f t="shared" si="294"/>
        <v>#N/A</v>
      </c>
      <c r="BZ1208" s="71"/>
    </row>
    <row r="1209" spans="1:82" ht="61.5" x14ac:dyDescent="0.85">
      <c r="A1209" s="20">
        <v>1</v>
      </c>
      <c r="B1209" s="66">
        <f>SUBTOTAL(103,$A$963:A1209)</f>
        <v>199</v>
      </c>
      <c r="C1209" s="177" t="s">
        <v>102</v>
      </c>
      <c r="D1209" s="31">
        <f>E1209+F1209+G1209+H1209+I1209+J1209+L1209+N1209+P1209+R1209+T1209+U1209+V1209+W1209+X1209+Y1209+Z1209+AA1209+AB1209+AC1209+AD1209+AE1209</f>
        <v>5044258.8</v>
      </c>
      <c r="E1209" s="31">
        <v>0</v>
      </c>
      <c r="F1209" s="31">
        <v>0</v>
      </c>
      <c r="G1209" s="31">
        <v>0</v>
      </c>
      <c r="H1209" s="31">
        <v>0</v>
      </c>
      <c r="I1209" s="31">
        <v>0</v>
      </c>
      <c r="J1209" s="31">
        <v>0</v>
      </c>
      <c r="K1209" s="33">
        <v>0</v>
      </c>
      <c r="L1209" s="31">
        <v>0</v>
      </c>
      <c r="M1209" s="31">
        <v>966</v>
      </c>
      <c r="N1209" s="31">
        <v>4821929.8499999996</v>
      </c>
      <c r="O1209" s="31">
        <v>0</v>
      </c>
      <c r="P1209" s="31">
        <v>0</v>
      </c>
      <c r="Q1209" s="31">
        <v>0</v>
      </c>
      <c r="R1209" s="31">
        <v>0</v>
      </c>
      <c r="S1209" s="31">
        <v>0</v>
      </c>
      <c r="T1209" s="31">
        <v>0</v>
      </c>
      <c r="U1209" s="31">
        <v>0</v>
      </c>
      <c r="V1209" s="31">
        <v>0</v>
      </c>
      <c r="W1209" s="31">
        <v>0</v>
      </c>
      <c r="X1209" s="31">
        <v>0</v>
      </c>
      <c r="Y1209" s="31">
        <v>0</v>
      </c>
      <c r="Z1209" s="31">
        <v>0</v>
      </c>
      <c r="AA1209" s="31">
        <v>0</v>
      </c>
      <c r="AB1209" s="31">
        <v>0</v>
      </c>
      <c r="AC1209" s="31">
        <f>ROUND(N1209*1.5%,2)</f>
        <v>72328.95</v>
      </c>
      <c r="AD1209" s="31">
        <v>150000</v>
      </c>
      <c r="AE1209" s="31">
        <v>0</v>
      </c>
      <c r="AF1209" s="34">
        <v>2022</v>
      </c>
      <c r="AG1209" s="34">
        <v>2022</v>
      </c>
      <c r="AH1209" s="35">
        <v>2022</v>
      </c>
      <c r="AT1209" s="20" t="e">
        <f t="shared" si="294"/>
        <v>#N/A</v>
      </c>
      <c r="BZ1209" s="71"/>
    </row>
    <row r="1210" spans="1:82" ht="61.5" x14ac:dyDescent="0.85">
      <c r="B1210" s="24" t="s">
        <v>906</v>
      </c>
      <c r="C1210" s="24"/>
      <c r="D1210" s="31">
        <f>D1211</f>
        <v>3623929.1999999997</v>
      </c>
      <c r="E1210" s="31">
        <f t="shared" ref="E1210:AE1210" si="295">E1211</f>
        <v>0</v>
      </c>
      <c r="F1210" s="31">
        <f t="shared" si="295"/>
        <v>0</v>
      </c>
      <c r="G1210" s="31">
        <f t="shared" si="295"/>
        <v>0</v>
      </c>
      <c r="H1210" s="31">
        <f t="shared" si="295"/>
        <v>0</v>
      </c>
      <c r="I1210" s="31">
        <f t="shared" si="295"/>
        <v>0</v>
      </c>
      <c r="J1210" s="31">
        <f t="shared" si="295"/>
        <v>0</v>
      </c>
      <c r="K1210" s="33">
        <f t="shared" si="295"/>
        <v>0</v>
      </c>
      <c r="L1210" s="31">
        <f t="shared" si="295"/>
        <v>0</v>
      </c>
      <c r="M1210" s="31">
        <f t="shared" si="295"/>
        <v>694</v>
      </c>
      <c r="N1210" s="31">
        <f t="shared" si="295"/>
        <v>3422590.34</v>
      </c>
      <c r="O1210" s="31">
        <f t="shared" si="295"/>
        <v>0</v>
      </c>
      <c r="P1210" s="31">
        <f t="shared" si="295"/>
        <v>0</v>
      </c>
      <c r="Q1210" s="31">
        <f t="shared" si="295"/>
        <v>0</v>
      </c>
      <c r="R1210" s="31">
        <f t="shared" si="295"/>
        <v>0</v>
      </c>
      <c r="S1210" s="31">
        <f t="shared" si="295"/>
        <v>0</v>
      </c>
      <c r="T1210" s="31">
        <f t="shared" si="295"/>
        <v>0</v>
      </c>
      <c r="U1210" s="31">
        <f t="shared" si="295"/>
        <v>0</v>
      </c>
      <c r="V1210" s="31">
        <f t="shared" si="295"/>
        <v>0</v>
      </c>
      <c r="W1210" s="31">
        <f t="shared" si="295"/>
        <v>0</v>
      </c>
      <c r="X1210" s="31">
        <f t="shared" si="295"/>
        <v>0</v>
      </c>
      <c r="Y1210" s="31">
        <f t="shared" si="295"/>
        <v>0</v>
      </c>
      <c r="Z1210" s="31">
        <f t="shared" si="295"/>
        <v>0</v>
      </c>
      <c r="AA1210" s="31">
        <f t="shared" si="295"/>
        <v>0</v>
      </c>
      <c r="AB1210" s="31">
        <f t="shared" si="295"/>
        <v>0</v>
      </c>
      <c r="AC1210" s="31">
        <f t="shared" si="295"/>
        <v>51338.86</v>
      </c>
      <c r="AD1210" s="31">
        <f t="shared" si="295"/>
        <v>150000</v>
      </c>
      <c r="AE1210" s="31">
        <f t="shared" si="295"/>
        <v>0</v>
      </c>
      <c r="AF1210" s="130" t="s">
        <v>776</v>
      </c>
      <c r="AG1210" s="130" t="s">
        <v>776</v>
      </c>
      <c r="AH1210" s="131" t="s">
        <v>776</v>
      </c>
      <c r="AT1210" s="20" t="e">
        <f t="shared" si="294"/>
        <v>#N/A</v>
      </c>
      <c r="BZ1210" s="71">
        <v>3623929.1999999997</v>
      </c>
    </row>
    <row r="1211" spans="1:82" ht="61.5" x14ac:dyDescent="0.85">
      <c r="A1211" s="20">
        <v>1</v>
      </c>
      <c r="B1211" s="66">
        <f>SUBTOTAL(103,$A$963:A1211)</f>
        <v>200</v>
      </c>
      <c r="C1211" s="177" t="s">
        <v>106</v>
      </c>
      <c r="D1211" s="31">
        <f>E1211+F1211+G1211+H1211+I1211+J1211+L1211+N1211+P1211+R1211+T1211+U1211+V1211+W1211+X1211+Y1211+Z1211+AA1211+AB1211+AC1211+AD1211+AE1211</f>
        <v>3623929.1999999997</v>
      </c>
      <c r="E1211" s="31">
        <v>0</v>
      </c>
      <c r="F1211" s="31">
        <v>0</v>
      </c>
      <c r="G1211" s="31">
        <v>0</v>
      </c>
      <c r="H1211" s="31">
        <v>0</v>
      </c>
      <c r="I1211" s="31">
        <v>0</v>
      </c>
      <c r="J1211" s="31">
        <v>0</v>
      </c>
      <c r="K1211" s="33">
        <v>0</v>
      </c>
      <c r="L1211" s="31">
        <v>0</v>
      </c>
      <c r="M1211" s="31">
        <v>694</v>
      </c>
      <c r="N1211" s="31">
        <v>3422590.34</v>
      </c>
      <c r="O1211" s="31">
        <v>0</v>
      </c>
      <c r="P1211" s="31">
        <v>0</v>
      </c>
      <c r="Q1211" s="31">
        <v>0</v>
      </c>
      <c r="R1211" s="31">
        <v>0</v>
      </c>
      <c r="S1211" s="31">
        <v>0</v>
      </c>
      <c r="T1211" s="31">
        <v>0</v>
      </c>
      <c r="U1211" s="31">
        <v>0</v>
      </c>
      <c r="V1211" s="31">
        <v>0</v>
      </c>
      <c r="W1211" s="31">
        <v>0</v>
      </c>
      <c r="X1211" s="31">
        <v>0</v>
      </c>
      <c r="Y1211" s="31">
        <v>0</v>
      </c>
      <c r="Z1211" s="31">
        <v>0</v>
      </c>
      <c r="AA1211" s="31">
        <v>0</v>
      </c>
      <c r="AB1211" s="31">
        <v>0</v>
      </c>
      <c r="AC1211" s="31">
        <f>ROUND(N1211*1.5%,2)</f>
        <v>51338.86</v>
      </c>
      <c r="AD1211" s="31">
        <v>150000</v>
      </c>
      <c r="AE1211" s="31">
        <v>0</v>
      </c>
      <c r="AF1211" s="34">
        <v>2022</v>
      </c>
      <c r="AG1211" s="34">
        <v>2022</v>
      </c>
      <c r="AH1211" s="35">
        <v>2022</v>
      </c>
      <c r="AT1211" s="20" t="e">
        <f t="shared" si="294"/>
        <v>#N/A</v>
      </c>
      <c r="BZ1211" s="71"/>
    </row>
    <row r="1212" spans="1:82" ht="61.5" x14ac:dyDescent="0.85">
      <c r="B1212" s="24" t="s">
        <v>880</v>
      </c>
      <c r="C1212" s="24"/>
      <c r="D1212" s="31">
        <f>D1213</f>
        <v>3080862</v>
      </c>
      <c r="E1212" s="31">
        <f t="shared" ref="E1212:AE1212" si="296">E1213</f>
        <v>0</v>
      </c>
      <c r="F1212" s="31">
        <f t="shared" si="296"/>
        <v>0</v>
      </c>
      <c r="G1212" s="31">
        <f t="shared" si="296"/>
        <v>0</v>
      </c>
      <c r="H1212" s="31">
        <f t="shared" si="296"/>
        <v>0</v>
      </c>
      <c r="I1212" s="31">
        <f t="shared" si="296"/>
        <v>0</v>
      </c>
      <c r="J1212" s="31">
        <f t="shared" si="296"/>
        <v>0</v>
      </c>
      <c r="K1212" s="33">
        <f t="shared" si="296"/>
        <v>0</v>
      </c>
      <c r="L1212" s="31">
        <f t="shared" si="296"/>
        <v>0</v>
      </c>
      <c r="M1212" s="31">
        <f t="shared" si="296"/>
        <v>590</v>
      </c>
      <c r="N1212" s="31">
        <f t="shared" si="296"/>
        <v>2887548.77</v>
      </c>
      <c r="O1212" s="31">
        <f t="shared" si="296"/>
        <v>0</v>
      </c>
      <c r="P1212" s="31">
        <f t="shared" si="296"/>
        <v>0</v>
      </c>
      <c r="Q1212" s="31">
        <f t="shared" si="296"/>
        <v>0</v>
      </c>
      <c r="R1212" s="31">
        <f t="shared" si="296"/>
        <v>0</v>
      </c>
      <c r="S1212" s="31">
        <f t="shared" si="296"/>
        <v>0</v>
      </c>
      <c r="T1212" s="31">
        <f t="shared" si="296"/>
        <v>0</v>
      </c>
      <c r="U1212" s="31">
        <f t="shared" si="296"/>
        <v>0</v>
      </c>
      <c r="V1212" s="31">
        <f t="shared" si="296"/>
        <v>0</v>
      </c>
      <c r="W1212" s="31">
        <f t="shared" si="296"/>
        <v>0</v>
      </c>
      <c r="X1212" s="31">
        <f t="shared" si="296"/>
        <v>0</v>
      </c>
      <c r="Y1212" s="31">
        <f t="shared" si="296"/>
        <v>0</v>
      </c>
      <c r="Z1212" s="31">
        <f t="shared" si="296"/>
        <v>0</v>
      </c>
      <c r="AA1212" s="31">
        <f t="shared" si="296"/>
        <v>0</v>
      </c>
      <c r="AB1212" s="31">
        <f t="shared" si="296"/>
        <v>0</v>
      </c>
      <c r="AC1212" s="31">
        <f t="shared" si="296"/>
        <v>43313.23</v>
      </c>
      <c r="AD1212" s="31">
        <f t="shared" si="296"/>
        <v>150000</v>
      </c>
      <c r="AE1212" s="31">
        <f t="shared" si="296"/>
        <v>0</v>
      </c>
      <c r="AF1212" s="130" t="s">
        <v>776</v>
      </c>
      <c r="AG1212" s="130" t="s">
        <v>776</v>
      </c>
      <c r="AH1212" s="131" t="s">
        <v>776</v>
      </c>
      <c r="AT1212" s="20" t="e">
        <f t="shared" si="294"/>
        <v>#N/A</v>
      </c>
      <c r="BZ1212" s="71">
        <v>3080862</v>
      </c>
    </row>
    <row r="1213" spans="1:82" ht="61.5" x14ac:dyDescent="0.85">
      <c r="A1213" s="20">
        <v>1</v>
      </c>
      <c r="B1213" s="66">
        <f>SUBTOTAL(103,$A$963:A1213)</f>
        <v>201</v>
      </c>
      <c r="C1213" s="177" t="s">
        <v>103</v>
      </c>
      <c r="D1213" s="31">
        <f>E1213+F1213+G1213+H1213+I1213+J1213+L1213+N1213+P1213+R1213+T1213+U1213+V1213+W1213+X1213+Y1213+Z1213+AA1213+AB1213+AC1213+AD1213+AE1213</f>
        <v>3080862</v>
      </c>
      <c r="E1213" s="31">
        <v>0</v>
      </c>
      <c r="F1213" s="31">
        <v>0</v>
      </c>
      <c r="G1213" s="31">
        <v>0</v>
      </c>
      <c r="H1213" s="31">
        <v>0</v>
      </c>
      <c r="I1213" s="31">
        <v>0</v>
      </c>
      <c r="J1213" s="31">
        <v>0</v>
      </c>
      <c r="K1213" s="33">
        <v>0</v>
      </c>
      <c r="L1213" s="31">
        <v>0</v>
      </c>
      <c r="M1213" s="31">
        <v>590</v>
      </c>
      <c r="N1213" s="31">
        <v>2887548.77</v>
      </c>
      <c r="O1213" s="31">
        <v>0</v>
      </c>
      <c r="P1213" s="31">
        <v>0</v>
      </c>
      <c r="Q1213" s="31">
        <v>0</v>
      </c>
      <c r="R1213" s="31">
        <v>0</v>
      </c>
      <c r="S1213" s="31">
        <v>0</v>
      </c>
      <c r="T1213" s="31">
        <v>0</v>
      </c>
      <c r="U1213" s="31">
        <v>0</v>
      </c>
      <c r="V1213" s="31">
        <v>0</v>
      </c>
      <c r="W1213" s="31">
        <v>0</v>
      </c>
      <c r="X1213" s="31">
        <v>0</v>
      </c>
      <c r="Y1213" s="31">
        <v>0</v>
      </c>
      <c r="Z1213" s="31">
        <v>0</v>
      </c>
      <c r="AA1213" s="31">
        <v>0</v>
      </c>
      <c r="AB1213" s="31">
        <v>0</v>
      </c>
      <c r="AC1213" s="31">
        <f>ROUND(N1213*1.5%,2)</f>
        <v>43313.23</v>
      </c>
      <c r="AD1213" s="31">
        <v>150000</v>
      </c>
      <c r="AE1213" s="31">
        <v>0</v>
      </c>
      <c r="AF1213" s="34">
        <v>2022</v>
      </c>
      <c r="AG1213" s="34">
        <v>2022</v>
      </c>
      <c r="AH1213" s="35">
        <v>2022</v>
      </c>
      <c r="AT1213" s="20" t="e">
        <f t="shared" si="294"/>
        <v>#N/A</v>
      </c>
      <c r="BZ1213" s="71"/>
    </row>
    <row r="1214" spans="1:82" ht="61.5" x14ac:dyDescent="0.85">
      <c r="B1214" s="24" t="s">
        <v>881</v>
      </c>
      <c r="C1214" s="24"/>
      <c r="D1214" s="31">
        <f>D1215+D1216</f>
        <v>2610892.59</v>
      </c>
      <c r="E1214" s="31">
        <f t="shared" ref="E1214:AE1214" si="297">E1215+E1216</f>
        <v>0</v>
      </c>
      <c r="F1214" s="31">
        <f t="shared" si="297"/>
        <v>0</v>
      </c>
      <c r="G1214" s="31">
        <f t="shared" si="297"/>
        <v>0</v>
      </c>
      <c r="H1214" s="31">
        <f t="shared" si="297"/>
        <v>0</v>
      </c>
      <c r="I1214" s="31">
        <f t="shared" si="297"/>
        <v>0</v>
      </c>
      <c r="J1214" s="31">
        <f t="shared" si="297"/>
        <v>0</v>
      </c>
      <c r="K1214" s="33">
        <f t="shared" si="297"/>
        <v>0</v>
      </c>
      <c r="L1214" s="31">
        <f t="shared" si="297"/>
        <v>0</v>
      </c>
      <c r="M1214" s="31">
        <f t="shared" si="297"/>
        <v>500</v>
      </c>
      <c r="N1214" s="31">
        <f t="shared" si="297"/>
        <v>2335854.77</v>
      </c>
      <c r="O1214" s="31">
        <f t="shared" si="297"/>
        <v>0</v>
      </c>
      <c r="P1214" s="31">
        <f t="shared" si="297"/>
        <v>0</v>
      </c>
      <c r="Q1214" s="31">
        <f t="shared" si="297"/>
        <v>0</v>
      </c>
      <c r="R1214" s="31">
        <f t="shared" si="297"/>
        <v>0</v>
      </c>
      <c r="S1214" s="31">
        <f t="shared" si="297"/>
        <v>0</v>
      </c>
      <c r="T1214" s="31">
        <f t="shared" si="297"/>
        <v>0</v>
      </c>
      <c r="U1214" s="31">
        <f t="shared" si="297"/>
        <v>0</v>
      </c>
      <c r="V1214" s="31">
        <f t="shared" si="297"/>
        <v>0</v>
      </c>
      <c r="W1214" s="31">
        <f t="shared" si="297"/>
        <v>0</v>
      </c>
      <c r="X1214" s="31">
        <f t="shared" si="297"/>
        <v>0</v>
      </c>
      <c r="Y1214" s="31">
        <f t="shared" si="297"/>
        <v>0</v>
      </c>
      <c r="Z1214" s="31">
        <f t="shared" si="297"/>
        <v>0</v>
      </c>
      <c r="AA1214" s="31">
        <f t="shared" si="297"/>
        <v>0</v>
      </c>
      <c r="AB1214" s="31">
        <f t="shared" si="297"/>
        <v>0</v>
      </c>
      <c r="AC1214" s="31">
        <f t="shared" si="297"/>
        <v>35037.82</v>
      </c>
      <c r="AD1214" s="31">
        <f t="shared" si="297"/>
        <v>240000</v>
      </c>
      <c r="AE1214" s="31">
        <f t="shared" si="297"/>
        <v>0</v>
      </c>
      <c r="AF1214" s="130" t="s">
        <v>776</v>
      </c>
      <c r="AG1214" s="130" t="s">
        <v>776</v>
      </c>
      <c r="AH1214" s="131" t="s">
        <v>776</v>
      </c>
      <c r="AT1214" s="20" t="e">
        <f t="shared" si="294"/>
        <v>#N/A</v>
      </c>
      <c r="BZ1214" s="71">
        <v>2610892.59</v>
      </c>
    </row>
    <row r="1215" spans="1:82" ht="61.5" x14ac:dyDescent="0.85">
      <c r="A1215" s="20">
        <v>1</v>
      </c>
      <c r="B1215" s="66">
        <f>SUBTOTAL(103,$A$963:A1215)</f>
        <v>202</v>
      </c>
      <c r="C1215" s="177" t="s">
        <v>104</v>
      </c>
      <c r="D1215" s="31">
        <f>E1215+F1215+G1215+H1215+I1215+J1215+L1215+N1215+P1215+R1215+T1215+U1215+V1215+W1215+X1215+Y1215+Z1215+AA1215+AB1215+AC1215+AD1215+AE1215</f>
        <v>1321115.3999999999</v>
      </c>
      <c r="E1215" s="31">
        <v>0</v>
      </c>
      <c r="F1215" s="31">
        <v>0</v>
      </c>
      <c r="G1215" s="31">
        <v>0</v>
      </c>
      <c r="H1215" s="31">
        <v>0</v>
      </c>
      <c r="I1215" s="31">
        <v>0</v>
      </c>
      <c r="J1215" s="31">
        <v>0</v>
      </c>
      <c r="K1215" s="33">
        <v>0</v>
      </c>
      <c r="L1215" s="31">
        <v>0</v>
      </c>
      <c r="M1215" s="31">
        <v>253</v>
      </c>
      <c r="N1215" s="31">
        <v>1183364.93</v>
      </c>
      <c r="O1215" s="31">
        <v>0</v>
      </c>
      <c r="P1215" s="31">
        <v>0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1">
        <v>0</v>
      </c>
      <c r="W1215" s="31">
        <v>0</v>
      </c>
      <c r="X1215" s="31">
        <v>0</v>
      </c>
      <c r="Y1215" s="31">
        <v>0</v>
      </c>
      <c r="Z1215" s="31">
        <v>0</v>
      </c>
      <c r="AA1215" s="31">
        <v>0</v>
      </c>
      <c r="AB1215" s="31">
        <v>0</v>
      </c>
      <c r="AC1215" s="31">
        <f>ROUND(N1215*1.5%,2)</f>
        <v>17750.47</v>
      </c>
      <c r="AD1215" s="31">
        <v>120000</v>
      </c>
      <c r="AE1215" s="31">
        <v>0</v>
      </c>
      <c r="AF1215" s="34">
        <v>2022</v>
      </c>
      <c r="AG1215" s="34">
        <v>2022</v>
      </c>
      <c r="AH1215" s="35">
        <v>2022</v>
      </c>
      <c r="AT1215" s="20" t="e">
        <f t="shared" si="294"/>
        <v>#N/A</v>
      </c>
      <c r="BZ1215" s="71"/>
    </row>
    <row r="1216" spans="1:82" ht="61.5" x14ac:dyDescent="0.85">
      <c r="A1216" s="20">
        <v>1</v>
      </c>
      <c r="B1216" s="66">
        <f>SUBTOTAL(103,$A$963:A1216)</f>
        <v>203</v>
      </c>
      <c r="C1216" s="177" t="s">
        <v>105</v>
      </c>
      <c r="D1216" s="31">
        <f>E1216+F1216+G1216+H1216+I1216+J1216+L1216+N1216+P1216+R1216+T1216+U1216+V1216+W1216+X1216+Y1216+Z1216+AA1216+AB1216+AC1216+AD1216+AE1216</f>
        <v>1289777.1900000002</v>
      </c>
      <c r="E1216" s="31">
        <v>0</v>
      </c>
      <c r="F1216" s="31">
        <v>0</v>
      </c>
      <c r="G1216" s="31">
        <v>0</v>
      </c>
      <c r="H1216" s="31">
        <v>0</v>
      </c>
      <c r="I1216" s="31">
        <v>0</v>
      </c>
      <c r="J1216" s="31">
        <v>0</v>
      </c>
      <c r="K1216" s="33">
        <v>0</v>
      </c>
      <c r="L1216" s="31">
        <v>0</v>
      </c>
      <c r="M1216" s="31">
        <v>247</v>
      </c>
      <c r="N1216" s="31">
        <v>1152489.8400000001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31">
        <v>0</v>
      </c>
      <c r="W1216" s="31">
        <v>0</v>
      </c>
      <c r="X1216" s="31">
        <v>0</v>
      </c>
      <c r="Y1216" s="31">
        <v>0</v>
      </c>
      <c r="Z1216" s="31">
        <v>0</v>
      </c>
      <c r="AA1216" s="31">
        <v>0</v>
      </c>
      <c r="AB1216" s="31">
        <v>0</v>
      </c>
      <c r="AC1216" s="31">
        <f>ROUND(N1216*1.5%,2)</f>
        <v>17287.349999999999</v>
      </c>
      <c r="AD1216" s="31">
        <v>120000</v>
      </c>
      <c r="AE1216" s="31">
        <v>0</v>
      </c>
      <c r="AF1216" s="34">
        <v>2022</v>
      </c>
      <c r="AG1216" s="34">
        <v>2022</v>
      </c>
      <c r="AH1216" s="35">
        <v>2022</v>
      </c>
      <c r="AT1216" s="20" t="e">
        <f t="shared" si="294"/>
        <v>#N/A</v>
      </c>
      <c r="BZ1216" s="71"/>
    </row>
    <row r="1217" spans="1:78" ht="61.5" x14ac:dyDescent="0.85">
      <c r="B1217" s="24" t="s">
        <v>883</v>
      </c>
      <c r="C1217" s="129"/>
      <c r="D1217" s="31">
        <f>D1218+D1219+D1220</f>
        <v>6332416.4000000004</v>
      </c>
      <c r="E1217" s="31">
        <f t="shared" ref="E1217:AE1217" si="298">E1218+E1219+E1220</f>
        <v>0</v>
      </c>
      <c r="F1217" s="31">
        <f t="shared" si="298"/>
        <v>0</v>
      </c>
      <c r="G1217" s="31">
        <f t="shared" si="298"/>
        <v>0</v>
      </c>
      <c r="H1217" s="31">
        <f t="shared" si="298"/>
        <v>0</v>
      </c>
      <c r="I1217" s="31">
        <f t="shared" si="298"/>
        <v>0</v>
      </c>
      <c r="J1217" s="31">
        <f t="shared" si="298"/>
        <v>0</v>
      </c>
      <c r="K1217" s="33">
        <f t="shared" si="298"/>
        <v>0</v>
      </c>
      <c r="L1217" s="31">
        <f t="shared" si="298"/>
        <v>0</v>
      </c>
      <c r="M1217" s="31">
        <f t="shared" si="298"/>
        <v>696</v>
      </c>
      <c r="N1217" s="31">
        <f t="shared" si="298"/>
        <v>3349359.61</v>
      </c>
      <c r="O1217" s="31">
        <f t="shared" si="298"/>
        <v>0</v>
      </c>
      <c r="P1217" s="31">
        <f t="shared" si="298"/>
        <v>0</v>
      </c>
      <c r="Q1217" s="31">
        <f t="shared" si="298"/>
        <v>910</v>
      </c>
      <c r="R1217" s="31">
        <f t="shared" si="298"/>
        <v>2485533.4</v>
      </c>
      <c r="S1217" s="31">
        <f t="shared" si="298"/>
        <v>0</v>
      </c>
      <c r="T1217" s="31">
        <f t="shared" si="298"/>
        <v>0</v>
      </c>
      <c r="U1217" s="31">
        <f t="shared" si="298"/>
        <v>0</v>
      </c>
      <c r="V1217" s="31">
        <f t="shared" si="298"/>
        <v>0</v>
      </c>
      <c r="W1217" s="31">
        <f t="shared" si="298"/>
        <v>0</v>
      </c>
      <c r="X1217" s="31">
        <f t="shared" si="298"/>
        <v>0</v>
      </c>
      <c r="Y1217" s="31">
        <f t="shared" si="298"/>
        <v>0</v>
      </c>
      <c r="Z1217" s="31">
        <f t="shared" si="298"/>
        <v>0</v>
      </c>
      <c r="AA1217" s="31">
        <f t="shared" si="298"/>
        <v>0</v>
      </c>
      <c r="AB1217" s="31">
        <f t="shared" si="298"/>
        <v>0</v>
      </c>
      <c r="AC1217" s="31">
        <f t="shared" si="298"/>
        <v>87523.39</v>
      </c>
      <c r="AD1217" s="31">
        <f t="shared" si="298"/>
        <v>410000</v>
      </c>
      <c r="AE1217" s="31">
        <f t="shared" si="298"/>
        <v>0</v>
      </c>
      <c r="AF1217" s="130" t="s">
        <v>776</v>
      </c>
      <c r="AG1217" s="130" t="s">
        <v>776</v>
      </c>
      <c r="AH1217" s="131" t="s">
        <v>776</v>
      </c>
      <c r="AT1217" s="20" t="e">
        <f t="shared" si="294"/>
        <v>#N/A</v>
      </c>
      <c r="BZ1217" s="71">
        <v>6332416.4000000004</v>
      </c>
    </row>
    <row r="1218" spans="1:78" ht="61.5" x14ac:dyDescent="0.85">
      <c r="A1218" s="20">
        <v>1</v>
      </c>
      <c r="B1218" s="66">
        <f>SUBTOTAL(103,$A$963:A1218)</f>
        <v>204</v>
      </c>
      <c r="C1218" s="177" t="s">
        <v>198</v>
      </c>
      <c r="D1218" s="31">
        <f>E1218+F1218+G1218+H1218+I1218+J1218+L1218+N1218+P1218+R1218+T1218+U1218+V1218+W1218+X1218+Y1218+Z1218+AA1218+AB1218+AC1218+AD1218+AE1218</f>
        <v>3549600</v>
      </c>
      <c r="E1218" s="31">
        <v>0</v>
      </c>
      <c r="F1218" s="31">
        <v>0</v>
      </c>
      <c r="G1218" s="31">
        <v>0</v>
      </c>
      <c r="H1218" s="31">
        <v>0</v>
      </c>
      <c r="I1218" s="31">
        <v>0</v>
      </c>
      <c r="J1218" s="31">
        <v>0</v>
      </c>
      <c r="K1218" s="33">
        <v>0</v>
      </c>
      <c r="L1218" s="31">
        <v>0</v>
      </c>
      <c r="M1218" s="31">
        <v>696</v>
      </c>
      <c r="N1218" s="31">
        <v>3349359.61</v>
      </c>
      <c r="O1218" s="31">
        <v>0</v>
      </c>
      <c r="P1218" s="31">
        <v>0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1">
        <v>0</v>
      </c>
      <c r="Y1218" s="31">
        <v>0</v>
      </c>
      <c r="Z1218" s="31">
        <v>0</v>
      </c>
      <c r="AA1218" s="31">
        <v>0</v>
      </c>
      <c r="AB1218" s="31">
        <v>0</v>
      </c>
      <c r="AC1218" s="31">
        <f>ROUND(N1218*1.5%,2)</f>
        <v>50240.39</v>
      </c>
      <c r="AD1218" s="31">
        <v>150000</v>
      </c>
      <c r="AE1218" s="31">
        <v>0</v>
      </c>
      <c r="AF1218" s="34">
        <v>2022</v>
      </c>
      <c r="AG1218" s="34">
        <v>2022</v>
      </c>
      <c r="AH1218" s="35">
        <v>2022</v>
      </c>
      <c r="AT1218" s="20" t="e">
        <f t="shared" si="294"/>
        <v>#N/A</v>
      </c>
      <c r="BZ1218" s="71"/>
    </row>
    <row r="1219" spans="1:78" ht="61.5" x14ac:dyDescent="0.85">
      <c r="A1219" s="20">
        <v>1</v>
      </c>
      <c r="B1219" s="66">
        <f>SUBTOTAL(103,$A$963:A1219)</f>
        <v>205</v>
      </c>
      <c r="C1219" s="177" t="s">
        <v>199</v>
      </c>
      <c r="D1219" s="31">
        <f>E1219+F1219+G1219+H1219+I1219+J1219+L1219+N1219+P1219+R1219+T1219+U1219+V1219+W1219+X1219+Y1219+Z1219+AA1219+AB1219+AC1219+AD1219+AE1219</f>
        <v>1391408.2</v>
      </c>
      <c r="E1219" s="31">
        <v>0</v>
      </c>
      <c r="F1219" s="31">
        <v>0</v>
      </c>
      <c r="G1219" s="31">
        <v>0</v>
      </c>
      <c r="H1219" s="31">
        <v>0</v>
      </c>
      <c r="I1219" s="31">
        <v>0</v>
      </c>
      <c r="J1219" s="31">
        <v>0</v>
      </c>
      <c r="K1219" s="33">
        <v>0</v>
      </c>
      <c r="L1219" s="31">
        <v>0</v>
      </c>
      <c r="M1219" s="31">
        <v>0</v>
      </c>
      <c r="N1219" s="31">
        <v>0</v>
      </c>
      <c r="O1219" s="31">
        <v>0</v>
      </c>
      <c r="P1219" s="31">
        <v>0</v>
      </c>
      <c r="Q1219" s="31">
        <v>455</v>
      </c>
      <c r="R1219" s="31">
        <v>1242766.7</v>
      </c>
      <c r="S1219" s="31">
        <v>0</v>
      </c>
      <c r="T1219" s="31">
        <v>0</v>
      </c>
      <c r="U1219" s="31">
        <v>0</v>
      </c>
      <c r="V1219" s="31">
        <v>0</v>
      </c>
      <c r="W1219" s="31">
        <v>0</v>
      </c>
      <c r="X1219" s="31">
        <v>0</v>
      </c>
      <c r="Y1219" s="31">
        <v>0</v>
      </c>
      <c r="Z1219" s="31">
        <v>0</v>
      </c>
      <c r="AA1219" s="31">
        <v>0</v>
      </c>
      <c r="AB1219" s="31">
        <v>0</v>
      </c>
      <c r="AC1219" s="31">
        <f>ROUND(R1219*1.5%,2)</f>
        <v>18641.5</v>
      </c>
      <c r="AD1219" s="31">
        <v>130000</v>
      </c>
      <c r="AE1219" s="31">
        <v>0</v>
      </c>
      <c r="AF1219" s="34">
        <v>2022</v>
      </c>
      <c r="AG1219" s="34">
        <v>2022</v>
      </c>
      <c r="AH1219" s="35">
        <v>2022</v>
      </c>
      <c r="AT1219" s="20" t="e">
        <f t="shared" si="294"/>
        <v>#N/A</v>
      </c>
      <c r="BZ1219" s="71"/>
    </row>
    <row r="1220" spans="1:78" ht="61.5" x14ac:dyDescent="0.85">
      <c r="A1220" s="20">
        <v>1</v>
      </c>
      <c r="B1220" s="66">
        <f>SUBTOTAL(103,$A$963:A1220)</f>
        <v>206</v>
      </c>
      <c r="C1220" s="177" t="s">
        <v>200</v>
      </c>
      <c r="D1220" s="31">
        <f>E1220+F1220+G1220+H1220+I1220+J1220+L1220+N1220+P1220+R1220+T1220+U1220+V1220+W1220+X1220+Y1220+Z1220+AA1220+AB1220+AC1220+AD1220+AE1220</f>
        <v>1391408.2</v>
      </c>
      <c r="E1220" s="31">
        <v>0</v>
      </c>
      <c r="F1220" s="31">
        <v>0</v>
      </c>
      <c r="G1220" s="31">
        <v>0</v>
      </c>
      <c r="H1220" s="31">
        <v>0</v>
      </c>
      <c r="I1220" s="31">
        <v>0</v>
      </c>
      <c r="J1220" s="31">
        <v>0</v>
      </c>
      <c r="K1220" s="33">
        <v>0</v>
      </c>
      <c r="L1220" s="31">
        <v>0</v>
      </c>
      <c r="M1220" s="31">
        <v>0</v>
      </c>
      <c r="N1220" s="31">
        <v>0</v>
      </c>
      <c r="O1220" s="31">
        <v>0</v>
      </c>
      <c r="P1220" s="31">
        <v>0</v>
      </c>
      <c r="Q1220" s="31">
        <v>455</v>
      </c>
      <c r="R1220" s="31">
        <v>1242766.7</v>
      </c>
      <c r="S1220" s="31">
        <v>0</v>
      </c>
      <c r="T1220" s="31">
        <v>0</v>
      </c>
      <c r="U1220" s="31">
        <v>0</v>
      </c>
      <c r="V1220" s="31">
        <v>0</v>
      </c>
      <c r="W1220" s="31">
        <v>0</v>
      </c>
      <c r="X1220" s="31">
        <v>0</v>
      </c>
      <c r="Y1220" s="31">
        <v>0</v>
      </c>
      <c r="Z1220" s="31">
        <v>0</v>
      </c>
      <c r="AA1220" s="31">
        <v>0</v>
      </c>
      <c r="AB1220" s="31">
        <v>0</v>
      </c>
      <c r="AC1220" s="31">
        <f>ROUND(R1220*1.5%,2)</f>
        <v>18641.5</v>
      </c>
      <c r="AD1220" s="31">
        <v>130000</v>
      </c>
      <c r="AE1220" s="31">
        <v>0</v>
      </c>
      <c r="AF1220" s="34">
        <v>2022</v>
      </c>
      <c r="AG1220" s="34">
        <v>2022</v>
      </c>
      <c r="AH1220" s="35">
        <v>2022</v>
      </c>
      <c r="AT1220" s="20" t="e">
        <f t="shared" si="294"/>
        <v>#N/A</v>
      </c>
      <c r="BZ1220" s="71"/>
    </row>
    <row r="1221" spans="1:78" ht="61.5" x14ac:dyDescent="0.85">
      <c r="B1221" s="24" t="s">
        <v>884</v>
      </c>
      <c r="C1221" s="24"/>
      <c r="D1221" s="31">
        <f>D1222</f>
        <v>4686244.08</v>
      </c>
      <c r="E1221" s="31">
        <f t="shared" ref="E1221:AE1221" si="299">E1222</f>
        <v>0</v>
      </c>
      <c r="F1221" s="31">
        <f t="shared" si="299"/>
        <v>0</v>
      </c>
      <c r="G1221" s="31">
        <f t="shared" si="299"/>
        <v>0</v>
      </c>
      <c r="H1221" s="31">
        <f t="shared" si="299"/>
        <v>0</v>
      </c>
      <c r="I1221" s="31">
        <f t="shared" si="299"/>
        <v>0</v>
      </c>
      <c r="J1221" s="31">
        <f t="shared" si="299"/>
        <v>0</v>
      </c>
      <c r="K1221" s="33">
        <f t="shared" si="299"/>
        <v>0</v>
      </c>
      <c r="L1221" s="31">
        <f t="shared" si="299"/>
        <v>0</v>
      </c>
      <c r="M1221" s="31">
        <f t="shared" si="299"/>
        <v>720</v>
      </c>
      <c r="N1221" s="31">
        <f t="shared" si="299"/>
        <v>4488910.42</v>
      </c>
      <c r="O1221" s="31">
        <f t="shared" si="299"/>
        <v>0</v>
      </c>
      <c r="P1221" s="31">
        <f t="shared" si="299"/>
        <v>0</v>
      </c>
      <c r="Q1221" s="31">
        <f t="shared" si="299"/>
        <v>0</v>
      </c>
      <c r="R1221" s="31">
        <f t="shared" si="299"/>
        <v>0</v>
      </c>
      <c r="S1221" s="31">
        <f t="shared" si="299"/>
        <v>0</v>
      </c>
      <c r="T1221" s="31">
        <f t="shared" si="299"/>
        <v>0</v>
      </c>
      <c r="U1221" s="31">
        <f t="shared" si="299"/>
        <v>0</v>
      </c>
      <c r="V1221" s="31">
        <f t="shared" si="299"/>
        <v>0</v>
      </c>
      <c r="W1221" s="31">
        <f t="shared" si="299"/>
        <v>0</v>
      </c>
      <c r="X1221" s="31">
        <f t="shared" si="299"/>
        <v>0</v>
      </c>
      <c r="Y1221" s="31">
        <f t="shared" si="299"/>
        <v>0</v>
      </c>
      <c r="Z1221" s="31">
        <f t="shared" si="299"/>
        <v>0</v>
      </c>
      <c r="AA1221" s="31">
        <f t="shared" si="299"/>
        <v>0</v>
      </c>
      <c r="AB1221" s="31">
        <f t="shared" si="299"/>
        <v>0</v>
      </c>
      <c r="AC1221" s="31">
        <f t="shared" si="299"/>
        <v>67333.66</v>
      </c>
      <c r="AD1221" s="31">
        <f t="shared" si="299"/>
        <v>130000</v>
      </c>
      <c r="AE1221" s="31">
        <f t="shared" si="299"/>
        <v>0</v>
      </c>
      <c r="AF1221" s="130" t="s">
        <v>776</v>
      </c>
      <c r="AG1221" s="130" t="s">
        <v>776</v>
      </c>
      <c r="AH1221" s="131" t="s">
        <v>776</v>
      </c>
      <c r="AT1221" s="20" t="e">
        <f t="shared" si="294"/>
        <v>#N/A</v>
      </c>
      <c r="BZ1221" s="71">
        <v>4686244.08</v>
      </c>
    </row>
    <row r="1222" spans="1:78" ht="61.5" x14ac:dyDescent="0.85">
      <c r="A1222" s="20">
        <v>1</v>
      </c>
      <c r="B1222" s="66">
        <f>SUBTOTAL(103,$A$963:A1222)</f>
        <v>207</v>
      </c>
      <c r="C1222" s="177" t="s">
        <v>1397</v>
      </c>
      <c r="D1222" s="31">
        <f>E1222+F1222+G1222+H1222+I1222+J1222+L1222+N1222+P1222+R1222+T1222+U1222+V1222+W1222+X1222+Y1222+Z1222+AA1222+AB1222+AC1222+AD1222+AE1222</f>
        <v>4686244.08</v>
      </c>
      <c r="E1222" s="31">
        <v>0</v>
      </c>
      <c r="F1222" s="31">
        <v>0</v>
      </c>
      <c r="G1222" s="31">
        <v>0</v>
      </c>
      <c r="H1222" s="31">
        <v>0</v>
      </c>
      <c r="I1222" s="31">
        <v>0</v>
      </c>
      <c r="J1222" s="31">
        <v>0</v>
      </c>
      <c r="K1222" s="33">
        <v>0</v>
      </c>
      <c r="L1222" s="31">
        <v>0</v>
      </c>
      <c r="M1222" s="31">
        <v>720</v>
      </c>
      <c r="N1222" s="31">
        <f>2853393.18+1635517.24</f>
        <v>4488910.42</v>
      </c>
      <c r="O1222" s="31">
        <v>0</v>
      </c>
      <c r="P1222" s="31">
        <v>0</v>
      </c>
      <c r="Q1222" s="31">
        <v>0</v>
      </c>
      <c r="R1222" s="31">
        <v>0</v>
      </c>
      <c r="S1222" s="31">
        <v>0</v>
      </c>
      <c r="T1222" s="31">
        <v>0</v>
      </c>
      <c r="U1222" s="31">
        <v>0</v>
      </c>
      <c r="V1222" s="31">
        <v>0</v>
      </c>
      <c r="W1222" s="31">
        <v>0</v>
      </c>
      <c r="X1222" s="31">
        <v>0</v>
      </c>
      <c r="Y1222" s="31">
        <v>0</v>
      </c>
      <c r="Z1222" s="31">
        <v>0</v>
      </c>
      <c r="AA1222" s="31">
        <v>0</v>
      </c>
      <c r="AB1222" s="31">
        <v>0</v>
      </c>
      <c r="AC1222" s="31">
        <f>ROUND(N1222*1.5%,2)</f>
        <v>67333.66</v>
      </c>
      <c r="AD1222" s="31">
        <v>130000</v>
      </c>
      <c r="AE1222" s="31">
        <v>0</v>
      </c>
      <c r="AF1222" s="34">
        <v>2022</v>
      </c>
      <c r="AG1222" s="34">
        <v>2022</v>
      </c>
      <c r="AH1222" s="35">
        <v>2022</v>
      </c>
      <c r="AT1222" s="20" t="e">
        <f t="shared" si="294"/>
        <v>#N/A</v>
      </c>
      <c r="BZ1222" s="71"/>
    </row>
    <row r="1223" spans="1:78" ht="61.5" x14ac:dyDescent="0.85">
      <c r="B1223" s="24" t="s">
        <v>886</v>
      </c>
      <c r="C1223" s="24"/>
      <c r="D1223" s="31">
        <f>D1224</f>
        <v>3600600</v>
      </c>
      <c r="E1223" s="31">
        <f t="shared" ref="E1223:AE1223" si="300">E1224</f>
        <v>0</v>
      </c>
      <c r="F1223" s="31">
        <f t="shared" si="300"/>
        <v>0</v>
      </c>
      <c r="G1223" s="31">
        <f t="shared" si="300"/>
        <v>0</v>
      </c>
      <c r="H1223" s="31">
        <f t="shared" si="300"/>
        <v>0</v>
      </c>
      <c r="I1223" s="31">
        <f t="shared" si="300"/>
        <v>0</v>
      </c>
      <c r="J1223" s="31">
        <f t="shared" si="300"/>
        <v>0</v>
      </c>
      <c r="K1223" s="33">
        <f t="shared" si="300"/>
        <v>0</v>
      </c>
      <c r="L1223" s="31">
        <f t="shared" si="300"/>
        <v>0</v>
      </c>
      <c r="M1223" s="31">
        <f t="shared" si="300"/>
        <v>351</v>
      </c>
      <c r="N1223" s="31">
        <f t="shared" si="300"/>
        <v>1731597.04</v>
      </c>
      <c r="O1223" s="31">
        <f t="shared" si="300"/>
        <v>0</v>
      </c>
      <c r="P1223" s="31">
        <f t="shared" si="300"/>
        <v>0</v>
      </c>
      <c r="Q1223" s="31">
        <f t="shared" si="300"/>
        <v>333.4</v>
      </c>
      <c r="R1223" s="31">
        <f t="shared" si="300"/>
        <v>1668008.8699999999</v>
      </c>
      <c r="S1223" s="31">
        <f t="shared" si="300"/>
        <v>0</v>
      </c>
      <c r="T1223" s="31">
        <f t="shared" si="300"/>
        <v>0</v>
      </c>
      <c r="U1223" s="31">
        <f t="shared" si="300"/>
        <v>0</v>
      </c>
      <c r="V1223" s="31">
        <f t="shared" si="300"/>
        <v>0</v>
      </c>
      <c r="W1223" s="31">
        <f t="shared" si="300"/>
        <v>0</v>
      </c>
      <c r="X1223" s="31">
        <f t="shared" si="300"/>
        <v>0</v>
      </c>
      <c r="Y1223" s="31">
        <f t="shared" si="300"/>
        <v>0</v>
      </c>
      <c r="Z1223" s="31">
        <f t="shared" si="300"/>
        <v>0</v>
      </c>
      <c r="AA1223" s="31">
        <f t="shared" si="300"/>
        <v>0</v>
      </c>
      <c r="AB1223" s="31">
        <f t="shared" si="300"/>
        <v>0</v>
      </c>
      <c r="AC1223" s="31">
        <f t="shared" si="300"/>
        <v>50994.09</v>
      </c>
      <c r="AD1223" s="31">
        <f t="shared" si="300"/>
        <v>150000</v>
      </c>
      <c r="AE1223" s="31">
        <f t="shared" si="300"/>
        <v>0</v>
      </c>
      <c r="AF1223" s="130" t="s">
        <v>776</v>
      </c>
      <c r="AG1223" s="130" t="s">
        <v>776</v>
      </c>
      <c r="AH1223" s="131" t="s">
        <v>776</v>
      </c>
      <c r="AT1223" s="20" t="e">
        <f t="shared" si="294"/>
        <v>#N/A</v>
      </c>
      <c r="BZ1223" s="71">
        <v>3600600</v>
      </c>
    </row>
    <row r="1224" spans="1:78" ht="61.5" x14ac:dyDescent="0.85">
      <c r="A1224" s="20">
        <v>1</v>
      </c>
      <c r="B1224" s="66">
        <f>SUBTOTAL(103,$A$963:A1224)</f>
        <v>208</v>
      </c>
      <c r="C1224" s="177" t="s">
        <v>819</v>
      </c>
      <c r="D1224" s="31">
        <f>E1224+F1224+G1224+H1224+I1224+J1224+L1224+N1224+P1224+R1224+T1224+U1224+V1224+W1224+X1224+Y1224+Z1224+AA1224+AB1224+AC1224+AD1224+AE1224</f>
        <v>3600600</v>
      </c>
      <c r="E1224" s="31">
        <v>0</v>
      </c>
      <c r="F1224" s="31">
        <v>0</v>
      </c>
      <c r="G1224" s="31">
        <v>0</v>
      </c>
      <c r="H1224" s="31">
        <v>0</v>
      </c>
      <c r="I1224" s="31">
        <v>0</v>
      </c>
      <c r="J1224" s="31">
        <v>0</v>
      </c>
      <c r="K1224" s="33">
        <v>0</v>
      </c>
      <c r="L1224" s="31">
        <v>0</v>
      </c>
      <c r="M1224" s="31">
        <v>351</v>
      </c>
      <c r="N1224" s="31">
        <v>1731597.04</v>
      </c>
      <c r="O1224" s="31">
        <v>0</v>
      </c>
      <c r="P1224" s="31">
        <v>0</v>
      </c>
      <c r="Q1224" s="31">
        <v>333.4</v>
      </c>
      <c r="R1224" s="31">
        <v>1668008.8699999999</v>
      </c>
      <c r="S1224" s="31">
        <v>0</v>
      </c>
      <c r="T1224" s="31">
        <v>0</v>
      </c>
      <c r="U1224" s="31">
        <v>0</v>
      </c>
      <c r="V1224" s="31">
        <v>0</v>
      </c>
      <c r="W1224" s="31">
        <v>0</v>
      </c>
      <c r="X1224" s="31">
        <v>0</v>
      </c>
      <c r="Y1224" s="31">
        <v>0</v>
      </c>
      <c r="Z1224" s="31">
        <v>0</v>
      </c>
      <c r="AA1224" s="31">
        <v>0</v>
      </c>
      <c r="AB1224" s="31">
        <v>0</v>
      </c>
      <c r="AC1224" s="31">
        <f>ROUND((N1224+R1224)*1.5%,2)</f>
        <v>50994.09</v>
      </c>
      <c r="AD1224" s="31">
        <v>150000</v>
      </c>
      <c r="AE1224" s="31">
        <v>0</v>
      </c>
      <c r="AF1224" s="34">
        <v>2022</v>
      </c>
      <c r="AG1224" s="34">
        <v>2022</v>
      </c>
      <c r="AH1224" s="35">
        <v>2022</v>
      </c>
      <c r="AT1224" s="20" t="e">
        <f t="shared" si="294"/>
        <v>#N/A</v>
      </c>
      <c r="BZ1224" s="71"/>
    </row>
    <row r="1225" spans="1:78" ht="61.5" x14ac:dyDescent="0.85">
      <c r="B1225" s="24" t="s">
        <v>905</v>
      </c>
      <c r="C1225" s="24"/>
      <c r="D1225" s="31">
        <f>D1226</f>
        <v>2233993.96</v>
      </c>
      <c r="E1225" s="31">
        <f t="shared" ref="E1225:AE1225" si="301">E1226</f>
        <v>0</v>
      </c>
      <c r="F1225" s="31">
        <f t="shared" si="301"/>
        <v>0</v>
      </c>
      <c r="G1225" s="31">
        <f t="shared" si="301"/>
        <v>0</v>
      </c>
      <c r="H1225" s="31">
        <f t="shared" si="301"/>
        <v>0</v>
      </c>
      <c r="I1225" s="31">
        <f t="shared" si="301"/>
        <v>0</v>
      </c>
      <c r="J1225" s="31">
        <f t="shared" si="301"/>
        <v>0</v>
      </c>
      <c r="K1225" s="33">
        <f t="shared" si="301"/>
        <v>0</v>
      </c>
      <c r="L1225" s="31">
        <f t="shared" si="301"/>
        <v>0</v>
      </c>
      <c r="M1225" s="31">
        <f t="shared" si="301"/>
        <v>376</v>
      </c>
      <c r="N1225" s="31">
        <f t="shared" si="301"/>
        <v>2082752.67</v>
      </c>
      <c r="O1225" s="31">
        <f t="shared" si="301"/>
        <v>0</v>
      </c>
      <c r="P1225" s="31">
        <f t="shared" si="301"/>
        <v>0</v>
      </c>
      <c r="Q1225" s="31">
        <f t="shared" si="301"/>
        <v>0</v>
      </c>
      <c r="R1225" s="31">
        <f t="shared" si="301"/>
        <v>0</v>
      </c>
      <c r="S1225" s="31">
        <f t="shared" si="301"/>
        <v>0</v>
      </c>
      <c r="T1225" s="31">
        <f t="shared" si="301"/>
        <v>0</v>
      </c>
      <c r="U1225" s="31">
        <f t="shared" si="301"/>
        <v>0</v>
      </c>
      <c r="V1225" s="31">
        <f t="shared" si="301"/>
        <v>0</v>
      </c>
      <c r="W1225" s="31">
        <f t="shared" si="301"/>
        <v>0</v>
      </c>
      <c r="X1225" s="31">
        <f t="shared" si="301"/>
        <v>0</v>
      </c>
      <c r="Y1225" s="31">
        <f t="shared" si="301"/>
        <v>0</v>
      </c>
      <c r="Z1225" s="31">
        <f t="shared" si="301"/>
        <v>0</v>
      </c>
      <c r="AA1225" s="31">
        <f t="shared" si="301"/>
        <v>0</v>
      </c>
      <c r="AB1225" s="31">
        <f t="shared" si="301"/>
        <v>0</v>
      </c>
      <c r="AC1225" s="31">
        <f t="shared" si="301"/>
        <v>31241.29</v>
      </c>
      <c r="AD1225" s="31">
        <f t="shared" si="301"/>
        <v>120000</v>
      </c>
      <c r="AE1225" s="31">
        <f t="shared" si="301"/>
        <v>0</v>
      </c>
      <c r="AF1225" s="130" t="s">
        <v>776</v>
      </c>
      <c r="AG1225" s="130" t="s">
        <v>776</v>
      </c>
      <c r="AH1225" s="131" t="s">
        <v>776</v>
      </c>
      <c r="AT1225" s="20" t="e">
        <f t="shared" si="294"/>
        <v>#N/A</v>
      </c>
      <c r="BZ1225" s="71">
        <v>2233993.96</v>
      </c>
    </row>
    <row r="1226" spans="1:78" ht="61.5" x14ac:dyDescent="0.85">
      <c r="A1226" s="20">
        <v>1</v>
      </c>
      <c r="B1226" s="66">
        <f>SUBTOTAL(103,$A$963:A1226)</f>
        <v>209</v>
      </c>
      <c r="C1226" s="177" t="s">
        <v>201</v>
      </c>
      <c r="D1226" s="31">
        <f>E1226+F1226+G1226+H1226+I1226+J1226+L1226+N1226+P1226+R1226+T1226+U1226+V1226+W1226+X1226+Y1226+Z1226+AA1226+AB1226+AC1226+AD1226+AE1226</f>
        <v>2233993.96</v>
      </c>
      <c r="E1226" s="31">
        <v>0</v>
      </c>
      <c r="F1226" s="31">
        <v>0</v>
      </c>
      <c r="G1226" s="31">
        <v>0</v>
      </c>
      <c r="H1226" s="31">
        <v>0</v>
      </c>
      <c r="I1226" s="31">
        <v>0</v>
      </c>
      <c r="J1226" s="31">
        <v>0</v>
      </c>
      <c r="K1226" s="33">
        <v>0</v>
      </c>
      <c r="L1226" s="31">
        <v>0</v>
      </c>
      <c r="M1226" s="31">
        <v>376</v>
      </c>
      <c r="N1226" s="31">
        <f>1771034.48+311718.19</f>
        <v>2082752.67</v>
      </c>
      <c r="O1226" s="31">
        <v>0</v>
      </c>
      <c r="P1226" s="31">
        <v>0</v>
      </c>
      <c r="Q1226" s="31">
        <v>0</v>
      </c>
      <c r="R1226" s="31">
        <v>0</v>
      </c>
      <c r="S1226" s="31">
        <v>0</v>
      </c>
      <c r="T1226" s="31">
        <v>0</v>
      </c>
      <c r="U1226" s="31">
        <v>0</v>
      </c>
      <c r="V1226" s="31">
        <v>0</v>
      </c>
      <c r="W1226" s="31">
        <v>0</v>
      </c>
      <c r="X1226" s="31">
        <v>0</v>
      </c>
      <c r="Y1226" s="31">
        <v>0</v>
      </c>
      <c r="Z1226" s="31">
        <v>0</v>
      </c>
      <c r="AA1226" s="31">
        <v>0</v>
      </c>
      <c r="AB1226" s="31">
        <v>0</v>
      </c>
      <c r="AC1226" s="31">
        <f>ROUND(N1226*1.5%,2)</f>
        <v>31241.29</v>
      </c>
      <c r="AD1226" s="31">
        <v>120000</v>
      </c>
      <c r="AE1226" s="31">
        <v>0</v>
      </c>
      <c r="AF1226" s="34">
        <v>2022</v>
      </c>
      <c r="AG1226" s="34">
        <v>2022</v>
      </c>
      <c r="AH1226" s="35">
        <v>2022</v>
      </c>
      <c r="AT1226" s="20" t="e">
        <f t="shared" si="294"/>
        <v>#N/A</v>
      </c>
      <c r="BZ1226" s="71"/>
    </row>
    <row r="1227" spans="1:78" ht="61.5" x14ac:dyDescent="0.85">
      <c r="B1227" s="24" t="s">
        <v>887</v>
      </c>
      <c r="C1227" s="129"/>
      <c r="D1227" s="31">
        <f>SUM(D1228:D1230)</f>
        <v>14392200</v>
      </c>
      <c r="E1227" s="31">
        <f t="shared" ref="E1227:AE1227" si="302">SUM(E1228:E1230)</f>
        <v>0</v>
      </c>
      <c r="F1227" s="31">
        <f t="shared" si="302"/>
        <v>0</v>
      </c>
      <c r="G1227" s="31">
        <f t="shared" si="302"/>
        <v>0</v>
      </c>
      <c r="H1227" s="31">
        <f t="shared" si="302"/>
        <v>0</v>
      </c>
      <c r="I1227" s="31">
        <f t="shared" si="302"/>
        <v>0</v>
      </c>
      <c r="J1227" s="31">
        <f t="shared" si="302"/>
        <v>0</v>
      </c>
      <c r="K1227" s="33">
        <f t="shared" si="302"/>
        <v>0</v>
      </c>
      <c r="L1227" s="31">
        <f t="shared" si="302"/>
        <v>0</v>
      </c>
      <c r="M1227" s="31">
        <f t="shared" si="302"/>
        <v>2822</v>
      </c>
      <c r="N1227" s="31">
        <f t="shared" si="302"/>
        <v>13706600.99</v>
      </c>
      <c r="O1227" s="31">
        <f t="shared" si="302"/>
        <v>0</v>
      </c>
      <c r="P1227" s="31">
        <f t="shared" si="302"/>
        <v>0</v>
      </c>
      <c r="Q1227" s="31">
        <f t="shared" si="302"/>
        <v>0</v>
      </c>
      <c r="R1227" s="31">
        <f t="shared" si="302"/>
        <v>0</v>
      </c>
      <c r="S1227" s="31">
        <f t="shared" si="302"/>
        <v>0</v>
      </c>
      <c r="T1227" s="31">
        <f t="shared" si="302"/>
        <v>0</v>
      </c>
      <c r="U1227" s="31">
        <f t="shared" si="302"/>
        <v>0</v>
      </c>
      <c r="V1227" s="31">
        <f t="shared" si="302"/>
        <v>0</v>
      </c>
      <c r="W1227" s="31">
        <f t="shared" si="302"/>
        <v>0</v>
      </c>
      <c r="X1227" s="31">
        <f t="shared" si="302"/>
        <v>0</v>
      </c>
      <c r="Y1227" s="31">
        <f t="shared" si="302"/>
        <v>0</v>
      </c>
      <c r="Z1227" s="31">
        <f t="shared" si="302"/>
        <v>0</v>
      </c>
      <c r="AA1227" s="31">
        <f t="shared" si="302"/>
        <v>0</v>
      </c>
      <c r="AB1227" s="31">
        <f t="shared" si="302"/>
        <v>0</v>
      </c>
      <c r="AC1227" s="31">
        <f t="shared" si="302"/>
        <v>205599.01</v>
      </c>
      <c r="AD1227" s="31">
        <f t="shared" si="302"/>
        <v>480000</v>
      </c>
      <c r="AE1227" s="31">
        <f t="shared" si="302"/>
        <v>0</v>
      </c>
      <c r="AF1227" s="130" t="s">
        <v>776</v>
      </c>
      <c r="AG1227" s="130" t="s">
        <v>776</v>
      </c>
      <c r="AH1227" s="131" t="s">
        <v>776</v>
      </c>
      <c r="AT1227" s="20" t="e">
        <f t="shared" si="294"/>
        <v>#N/A</v>
      </c>
      <c r="BZ1227" s="71">
        <v>14392200</v>
      </c>
    </row>
    <row r="1228" spans="1:78" ht="61.5" x14ac:dyDescent="0.85">
      <c r="A1228" s="20">
        <v>1</v>
      </c>
      <c r="B1228" s="66">
        <f>SUBTOTAL(103,$A$963:A1228)</f>
        <v>210</v>
      </c>
      <c r="C1228" s="177" t="s">
        <v>218</v>
      </c>
      <c r="D1228" s="31">
        <f>E1228+F1228+G1228+H1228+I1228+J1228+L1228+N1228+P1228+R1228+T1228+U1228+V1228+W1228+X1228+Y1228+Z1228+AA1228+AB1228+AC1228+AD1228+AE1228</f>
        <v>6002700</v>
      </c>
      <c r="E1228" s="31">
        <v>0</v>
      </c>
      <c r="F1228" s="31">
        <v>0</v>
      </c>
      <c r="G1228" s="31">
        <v>0</v>
      </c>
      <c r="H1228" s="31">
        <v>0</v>
      </c>
      <c r="I1228" s="31">
        <v>0</v>
      </c>
      <c r="J1228" s="31">
        <v>0</v>
      </c>
      <c r="K1228" s="33">
        <v>0</v>
      </c>
      <c r="L1228" s="31">
        <v>0</v>
      </c>
      <c r="M1228" s="31">
        <v>1177</v>
      </c>
      <c r="N1228" s="31">
        <v>5736650.25</v>
      </c>
      <c r="O1228" s="31">
        <v>0</v>
      </c>
      <c r="P1228" s="31">
        <v>0</v>
      </c>
      <c r="Q1228" s="31">
        <v>0</v>
      </c>
      <c r="R1228" s="31">
        <v>0</v>
      </c>
      <c r="S1228" s="31">
        <v>0</v>
      </c>
      <c r="T1228" s="31">
        <v>0</v>
      </c>
      <c r="U1228" s="31">
        <v>0</v>
      </c>
      <c r="V1228" s="31">
        <v>0</v>
      </c>
      <c r="W1228" s="31">
        <v>0</v>
      </c>
      <c r="X1228" s="31">
        <v>0</v>
      </c>
      <c r="Y1228" s="31">
        <v>0</v>
      </c>
      <c r="Z1228" s="31">
        <v>0</v>
      </c>
      <c r="AA1228" s="31">
        <v>0</v>
      </c>
      <c r="AB1228" s="31">
        <v>0</v>
      </c>
      <c r="AC1228" s="31">
        <f>ROUND(N1228*1.5%,2)</f>
        <v>86049.75</v>
      </c>
      <c r="AD1228" s="31">
        <v>180000</v>
      </c>
      <c r="AE1228" s="31">
        <v>0</v>
      </c>
      <c r="AF1228" s="34">
        <v>2022</v>
      </c>
      <c r="AG1228" s="34">
        <v>2022</v>
      </c>
      <c r="AH1228" s="35">
        <v>2022</v>
      </c>
      <c r="AT1228" s="20" t="e">
        <f t="shared" si="294"/>
        <v>#N/A</v>
      </c>
      <c r="BZ1228" s="71"/>
    </row>
    <row r="1229" spans="1:78" ht="61.5" x14ac:dyDescent="0.85">
      <c r="A1229" s="20">
        <v>1</v>
      </c>
      <c r="B1229" s="66">
        <f>SUBTOTAL(103,$A$963:A1229)</f>
        <v>211</v>
      </c>
      <c r="C1229" s="177" t="s">
        <v>219</v>
      </c>
      <c r="D1229" s="31">
        <f>E1229+F1229+G1229+H1229+I1229+J1229+L1229+N1229+P1229+R1229+T1229+U1229+V1229+W1229+X1229+Y1229+Z1229+AA1229+AB1229+AC1229+AD1229+AE1229</f>
        <v>4059600</v>
      </c>
      <c r="E1229" s="31">
        <v>0</v>
      </c>
      <c r="F1229" s="31">
        <v>0</v>
      </c>
      <c r="G1229" s="31">
        <v>0</v>
      </c>
      <c r="H1229" s="31">
        <v>0</v>
      </c>
      <c r="I1229" s="31">
        <v>0</v>
      </c>
      <c r="J1229" s="31">
        <v>0</v>
      </c>
      <c r="K1229" s="33">
        <v>0</v>
      </c>
      <c r="L1229" s="31">
        <v>0</v>
      </c>
      <c r="M1229" s="31">
        <v>796</v>
      </c>
      <c r="N1229" s="31">
        <v>3851822.66</v>
      </c>
      <c r="O1229" s="31">
        <v>0</v>
      </c>
      <c r="P1229" s="31">
        <v>0</v>
      </c>
      <c r="Q1229" s="31">
        <v>0</v>
      </c>
      <c r="R1229" s="31">
        <v>0</v>
      </c>
      <c r="S1229" s="31">
        <v>0</v>
      </c>
      <c r="T1229" s="31">
        <v>0</v>
      </c>
      <c r="U1229" s="31">
        <v>0</v>
      </c>
      <c r="V1229" s="31">
        <v>0</v>
      </c>
      <c r="W1229" s="31">
        <v>0</v>
      </c>
      <c r="X1229" s="31">
        <v>0</v>
      </c>
      <c r="Y1229" s="31">
        <v>0</v>
      </c>
      <c r="Z1229" s="31">
        <v>0</v>
      </c>
      <c r="AA1229" s="31">
        <v>0</v>
      </c>
      <c r="AB1229" s="31">
        <v>0</v>
      </c>
      <c r="AC1229" s="31">
        <f>ROUND(N1229*1.5%,2)</f>
        <v>57777.34</v>
      </c>
      <c r="AD1229" s="31">
        <v>150000</v>
      </c>
      <c r="AE1229" s="31">
        <v>0</v>
      </c>
      <c r="AF1229" s="34">
        <v>2022</v>
      </c>
      <c r="AG1229" s="34">
        <v>2022</v>
      </c>
      <c r="AH1229" s="35">
        <v>2022</v>
      </c>
      <c r="AT1229" s="20" t="e">
        <f t="shared" si="294"/>
        <v>#N/A</v>
      </c>
      <c r="BZ1229" s="71"/>
    </row>
    <row r="1230" spans="1:78" ht="61.5" x14ac:dyDescent="0.85">
      <c r="A1230" s="20">
        <v>1</v>
      </c>
      <c r="B1230" s="66">
        <f>SUBTOTAL(103,$A$963:A1230)</f>
        <v>212</v>
      </c>
      <c r="C1230" s="177" t="s">
        <v>220</v>
      </c>
      <c r="D1230" s="31">
        <f>E1230+F1230+G1230+H1230+I1230+J1230+L1230+N1230+P1230+R1230+T1230+U1230+V1230+W1230+X1230+Y1230+Z1230+AA1230+AB1230+AC1230+AD1230+AE1230</f>
        <v>4329900</v>
      </c>
      <c r="E1230" s="31">
        <v>0</v>
      </c>
      <c r="F1230" s="31">
        <v>0</v>
      </c>
      <c r="G1230" s="31">
        <v>0</v>
      </c>
      <c r="H1230" s="31">
        <v>0</v>
      </c>
      <c r="I1230" s="31">
        <v>0</v>
      </c>
      <c r="J1230" s="31">
        <v>0</v>
      </c>
      <c r="K1230" s="33">
        <v>0</v>
      </c>
      <c r="L1230" s="31">
        <v>0</v>
      </c>
      <c r="M1230" s="31">
        <v>849</v>
      </c>
      <c r="N1230" s="31">
        <v>4118128.08</v>
      </c>
      <c r="O1230" s="31">
        <v>0</v>
      </c>
      <c r="P1230" s="31">
        <v>0</v>
      </c>
      <c r="Q1230" s="31">
        <v>0</v>
      </c>
      <c r="R1230" s="31">
        <v>0</v>
      </c>
      <c r="S1230" s="31">
        <v>0</v>
      </c>
      <c r="T1230" s="31">
        <v>0</v>
      </c>
      <c r="U1230" s="31">
        <v>0</v>
      </c>
      <c r="V1230" s="31">
        <v>0</v>
      </c>
      <c r="W1230" s="31">
        <v>0</v>
      </c>
      <c r="X1230" s="31">
        <v>0</v>
      </c>
      <c r="Y1230" s="31">
        <v>0</v>
      </c>
      <c r="Z1230" s="31">
        <v>0</v>
      </c>
      <c r="AA1230" s="31">
        <v>0</v>
      </c>
      <c r="AB1230" s="31">
        <v>0</v>
      </c>
      <c r="AC1230" s="31">
        <f>ROUND(N1230*1.5%,2)</f>
        <v>61771.92</v>
      </c>
      <c r="AD1230" s="31">
        <v>150000</v>
      </c>
      <c r="AE1230" s="31">
        <v>0</v>
      </c>
      <c r="AF1230" s="34">
        <v>2022</v>
      </c>
      <c r="AG1230" s="34">
        <v>2022</v>
      </c>
      <c r="AH1230" s="35">
        <v>2022</v>
      </c>
      <c r="AT1230" s="20" t="e">
        <f t="shared" si="294"/>
        <v>#N/A</v>
      </c>
      <c r="BZ1230" s="71"/>
    </row>
    <row r="1231" spans="1:78" ht="61.5" x14ac:dyDescent="0.85">
      <c r="B1231" s="24" t="s">
        <v>888</v>
      </c>
      <c r="C1231" s="24"/>
      <c r="D1231" s="31">
        <f>D1232</f>
        <v>3396600</v>
      </c>
      <c r="E1231" s="31">
        <f t="shared" ref="E1231:AE1231" si="303">E1232</f>
        <v>0</v>
      </c>
      <c r="F1231" s="31">
        <f t="shared" si="303"/>
        <v>0</v>
      </c>
      <c r="G1231" s="31">
        <f t="shared" si="303"/>
        <v>0</v>
      </c>
      <c r="H1231" s="31">
        <f t="shared" si="303"/>
        <v>0</v>
      </c>
      <c r="I1231" s="31">
        <f t="shared" si="303"/>
        <v>0</v>
      </c>
      <c r="J1231" s="31">
        <f t="shared" si="303"/>
        <v>0</v>
      </c>
      <c r="K1231" s="33">
        <f t="shared" si="303"/>
        <v>0</v>
      </c>
      <c r="L1231" s="31">
        <f t="shared" si="303"/>
        <v>0</v>
      </c>
      <c r="M1231" s="31">
        <f t="shared" si="303"/>
        <v>666</v>
      </c>
      <c r="N1231" s="31">
        <f t="shared" si="303"/>
        <v>3198620.69</v>
      </c>
      <c r="O1231" s="31">
        <f t="shared" si="303"/>
        <v>0</v>
      </c>
      <c r="P1231" s="31">
        <f t="shared" si="303"/>
        <v>0</v>
      </c>
      <c r="Q1231" s="31">
        <f t="shared" si="303"/>
        <v>0</v>
      </c>
      <c r="R1231" s="31">
        <f t="shared" si="303"/>
        <v>0</v>
      </c>
      <c r="S1231" s="31">
        <f t="shared" si="303"/>
        <v>0</v>
      </c>
      <c r="T1231" s="31">
        <f t="shared" si="303"/>
        <v>0</v>
      </c>
      <c r="U1231" s="31">
        <f t="shared" si="303"/>
        <v>0</v>
      </c>
      <c r="V1231" s="31">
        <f t="shared" si="303"/>
        <v>0</v>
      </c>
      <c r="W1231" s="31">
        <f t="shared" si="303"/>
        <v>0</v>
      </c>
      <c r="X1231" s="31">
        <f t="shared" si="303"/>
        <v>0</v>
      </c>
      <c r="Y1231" s="31">
        <f t="shared" si="303"/>
        <v>0</v>
      </c>
      <c r="Z1231" s="31">
        <f t="shared" si="303"/>
        <v>0</v>
      </c>
      <c r="AA1231" s="31">
        <f t="shared" si="303"/>
        <v>0</v>
      </c>
      <c r="AB1231" s="31">
        <f t="shared" si="303"/>
        <v>0</v>
      </c>
      <c r="AC1231" s="31">
        <f t="shared" si="303"/>
        <v>47979.31</v>
      </c>
      <c r="AD1231" s="31">
        <f t="shared" si="303"/>
        <v>150000</v>
      </c>
      <c r="AE1231" s="31">
        <f t="shared" si="303"/>
        <v>0</v>
      </c>
      <c r="AF1231" s="130" t="s">
        <v>776</v>
      </c>
      <c r="AG1231" s="130" t="s">
        <v>776</v>
      </c>
      <c r="AH1231" s="131" t="s">
        <v>776</v>
      </c>
      <c r="AT1231" s="20" t="e">
        <f t="shared" si="294"/>
        <v>#N/A</v>
      </c>
      <c r="BZ1231" s="71">
        <v>3396600</v>
      </c>
    </row>
    <row r="1232" spans="1:78" ht="61.5" x14ac:dyDescent="0.85">
      <c r="A1232" s="20">
        <v>1</v>
      </c>
      <c r="B1232" s="66">
        <f>SUBTOTAL(103,$A$963:A1232)</f>
        <v>213</v>
      </c>
      <c r="C1232" s="177" t="s">
        <v>226</v>
      </c>
      <c r="D1232" s="31">
        <f>E1232+F1232+G1232+H1232+I1232+J1232+L1232+N1232+P1232+R1232+T1232+U1232+V1232+W1232+X1232+Y1232+Z1232+AA1232+AB1232+AC1232+AD1232+AE1232</f>
        <v>3396600</v>
      </c>
      <c r="E1232" s="31">
        <v>0</v>
      </c>
      <c r="F1232" s="31">
        <v>0</v>
      </c>
      <c r="G1232" s="31">
        <v>0</v>
      </c>
      <c r="H1232" s="31">
        <v>0</v>
      </c>
      <c r="I1232" s="31">
        <v>0</v>
      </c>
      <c r="J1232" s="31">
        <v>0</v>
      </c>
      <c r="K1232" s="33">
        <v>0</v>
      </c>
      <c r="L1232" s="31">
        <v>0</v>
      </c>
      <c r="M1232" s="31">
        <v>666</v>
      </c>
      <c r="N1232" s="31">
        <v>3198620.69</v>
      </c>
      <c r="O1232" s="31">
        <v>0</v>
      </c>
      <c r="P1232" s="31">
        <v>0</v>
      </c>
      <c r="Q1232" s="31">
        <v>0</v>
      </c>
      <c r="R1232" s="31">
        <v>0</v>
      </c>
      <c r="S1232" s="31">
        <v>0</v>
      </c>
      <c r="T1232" s="31">
        <v>0</v>
      </c>
      <c r="U1232" s="31">
        <v>0</v>
      </c>
      <c r="V1232" s="31">
        <v>0</v>
      </c>
      <c r="W1232" s="31">
        <v>0</v>
      </c>
      <c r="X1232" s="31">
        <v>0</v>
      </c>
      <c r="Y1232" s="31">
        <v>0</v>
      </c>
      <c r="Z1232" s="31">
        <v>0</v>
      </c>
      <c r="AA1232" s="31">
        <v>0</v>
      </c>
      <c r="AB1232" s="31">
        <v>0</v>
      </c>
      <c r="AC1232" s="31">
        <f>ROUND(N1232*1.5%,2)</f>
        <v>47979.31</v>
      </c>
      <c r="AD1232" s="31">
        <v>150000</v>
      </c>
      <c r="AE1232" s="31">
        <v>0</v>
      </c>
      <c r="AF1232" s="34">
        <v>2022</v>
      </c>
      <c r="AG1232" s="34">
        <v>2022</v>
      </c>
      <c r="AH1232" s="35">
        <v>2022</v>
      </c>
      <c r="AT1232" s="20">
        <f t="shared" si="294"/>
        <v>1</v>
      </c>
      <c r="BZ1232" s="71"/>
    </row>
    <row r="1233" spans="1:224" s="157" customFormat="1" ht="189" customHeight="1" x14ac:dyDescent="0.3">
      <c r="B1233" s="231" t="s">
        <v>1709</v>
      </c>
      <c r="C1233" s="232"/>
      <c r="D1233" s="232"/>
      <c r="E1233" s="232"/>
      <c r="F1233" s="232"/>
      <c r="G1233" s="232"/>
      <c r="H1233" s="232"/>
      <c r="I1233" s="232"/>
      <c r="J1233" s="232"/>
      <c r="K1233" s="232"/>
      <c r="L1233" s="232"/>
      <c r="M1233" s="232"/>
      <c r="N1233" s="232"/>
      <c r="O1233" s="232"/>
      <c r="P1233" s="232"/>
      <c r="Q1233" s="232"/>
      <c r="R1233" s="232"/>
      <c r="S1233" s="232"/>
      <c r="T1233" s="232"/>
      <c r="U1233" s="232"/>
      <c r="V1233" s="232"/>
      <c r="W1233" s="232"/>
      <c r="X1233" s="232"/>
      <c r="Y1233" s="232"/>
      <c r="Z1233" s="232"/>
      <c r="AA1233" s="232"/>
      <c r="AB1233" s="232"/>
      <c r="AC1233" s="232"/>
      <c r="AD1233" s="232"/>
      <c r="AE1233" s="232"/>
      <c r="AF1233" s="232"/>
      <c r="AG1233" s="232"/>
      <c r="AH1233" s="233"/>
      <c r="AI1233" s="210"/>
      <c r="AJ1233" s="211"/>
      <c r="AK1233" s="210"/>
      <c r="AL1233" s="210"/>
      <c r="AM1233" s="158"/>
      <c r="BR1233" s="160"/>
      <c r="CH1233" s="160" t="e">
        <f>VLOOKUP(C1233,CJ:CK,2,FALSE)</f>
        <v>#N/A</v>
      </c>
      <c r="CK1233" s="160" t="e">
        <f>VLOOKUP(C1233,CM:CN,2,FALSE)</f>
        <v>#N/A</v>
      </c>
      <c r="EU1233" s="160" t="e">
        <f>VLOOKUP(C1233,EY:EZ,2,FALSE)</f>
        <v>#N/A</v>
      </c>
      <c r="HO1233" s="157" t="s">
        <v>1703</v>
      </c>
      <c r="HP1233" s="157">
        <v>50864.91</v>
      </c>
    </row>
    <row r="1234" spans="1:224" s="157" customFormat="1" ht="189" customHeight="1" x14ac:dyDescent="0.3">
      <c r="B1234" s="234" t="s">
        <v>1717</v>
      </c>
      <c r="C1234" s="235"/>
      <c r="D1234" s="235"/>
      <c r="E1234" s="235"/>
      <c r="F1234" s="235"/>
      <c r="G1234" s="235"/>
      <c r="H1234" s="235"/>
      <c r="I1234" s="235"/>
      <c r="J1234" s="235"/>
      <c r="K1234" s="235"/>
      <c r="L1234" s="235"/>
      <c r="M1234" s="235"/>
      <c r="N1234" s="235"/>
      <c r="O1234" s="235"/>
      <c r="P1234" s="235"/>
      <c r="Q1234" s="235"/>
      <c r="R1234" s="235"/>
      <c r="S1234" s="235"/>
      <c r="T1234" s="235"/>
      <c r="U1234" s="235"/>
      <c r="V1234" s="235"/>
      <c r="W1234" s="235"/>
      <c r="X1234" s="235"/>
      <c r="Y1234" s="235"/>
      <c r="Z1234" s="235"/>
      <c r="AA1234" s="235"/>
      <c r="AB1234" s="235"/>
      <c r="AC1234" s="235"/>
      <c r="AD1234" s="235"/>
      <c r="AE1234" s="235"/>
      <c r="AF1234" s="235"/>
      <c r="AG1234" s="235"/>
      <c r="AH1234" s="236"/>
      <c r="AI1234" s="212"/>
      <c r="AJ1234" s="213"/>
      <c r="AK1234" s="212"/>
      <c r="AL1234" s="212"/>
      <c r="AM1234" s="161"/>
      <c r="HO1234" s="157" t="s">
        <v>1704</v>
      </c>
      <c r="HP1234" s="157">
        <v>47587.5</v>
      </c>
    </row>
    <row r="1235" spans="1:224" s="157" customFormat="1" ht="76.5" x14ac:dyDescent="0.3">
      <c r="B1235" s="237" t="s">
        <v>1710</v>
      </c>
      <c r="C1235" s="238"/>
      <c r="D1235" s="214">
        <f>D1236+D1240+D1238</f>
        <v>8174681</v>
      </c>
      <c r="E1235" s="214">
        <f t="shared" ref="E1235:AE1235" si="304">E1236+E1240+E1238</f>
        <v>0</v>
      </c>
      <c r="F1235" s="214">
        <f t="shared" si="304"/>
        <v>0</v>
      </c>
      <c r="G1235" s="214">
        <f t="shared" si="304"/>
        <v>0</v>
      </c>
      <c r="H1235" s="214">
        <f t="shared" si="304"/>
        <v>0</v>
      </c>
      <c r="I1235" s="214">
        <f t="shared" si="304"/>
        <v>0</v>
      </c>
      <c r="J1235" s="214">
        <f t="shared" si="304"/>
        <v>0</v>
      </c>
      <c r="K1235" s="215">
        <f t="shared" si="304"/>
        <v>0</v>
      </c>
      <c r="L1235" s="214">
        <f t="shared" si="304"/>
        <v>0</v>
      </c>
      <c r="M1235" s="214">
        <f t="shared" si="304"/>
        <v>1998.2</v>
      </c>
      <c r="N1235" s="214">
        <f t="shared" si="304"/>
        <v>8063386.3899999997</v>
      </c>
      <c r="O1235" s="214">
        <f t="shared" si="304"/>
        <v>0</v>
      </c>
      <c r="P1235" s="214">
        <f t="shared" si="304"/>
        <v>0</v>
      </c>
      <c r="Q1235" s="214">
        <f t="shared" si="304"/>
        <v>0</v>
      </c>
      <c r="R1235" s="214">
        <f t="shared" si="304"/>
        <v>0</v>
      </c>
      <c r="S1235" s="214">
        <f t="shared" si="304"/>
        <v>0</v>
      </c>
      <c r="T1235" s="214">
        <f t="shared" si="304"/>
        <v>0</v>
      </c>
      <c r="U1235" s="214">
        <f t="shared" si="304"/>
        <v>0</v>
      </c>
      <c r="V1235" s="214">
        <f t="shared" si="304"/>
        <v>0</v>
      </c>
      <c r="W1235" s="214">
        <f t="shared" si="304"/>
        <v>0</v>
      </c>
      <c r="X1235" s="214">
        <f t="shared" si="304"/>
        <v>0</v>
      </c>
      <c r="Y1235" s="214">
        <f t="shared" si="304"/>
        <v>0</v>
      </c>
      <c r="Z1235" s="214">
        <f t="shared" si="304"/>
        <v>0</v>
      </c>
      <c r="AA1235" s="214">
        <f t="shared" si="304"/>
        <v>0</v>
      </c>
      <c r="AB1235" s="214">
        <f t="shared" si="304"/>
        <v>0</v>
      </c>
      <c r="AC1235" s="214">
        <f t="shared" si="304"/>
        <v>111294.6100000001</v>
      </c>
      <c r="AD1235" s="214">
        <f t="shared" si="304"/>
        <v>0</v>
      </c>
      <c r="AE1235" s="214">
        <f t="shared" si="304"/>
        <v>0</v>
      </c>
      <c r="AF1235" s="216" t="s">
        <v>1705</v>
      </c>
      <c r="AG1235" s="216" t="s">
        <v>1705</v>
      </c>
      <c r="AH1235" s="216" t="s">
        <v>1705</v>
      </c>
      <c r="AI1235" s="217"/>
      <c r="AJ1235" s="211"/>
      <c r="AK1235" s="217"/>
      <c r="AL1235" s="217"/>
      <c r="AM1235" s="162"/>
      <c r="HO1235" s="157" t="s">
        <v>1706</v>
      </c>
      <c r="HP1235" s="157">
        <v>53254.36</v>
      </c>
    </row>
    <row r="1236" spans="1:224" s="157" customFormat="1" ht="76.5" x14ac:dyDescent="0.85">
      <c r="B1236" s="218" t="s">
        <v>887</v>
      </c>
      <c r="C1236" s="25"/>
      <c r="D1236" s="214">
        <f t="shared" ref="D1236:AE1238" si="305">SUM(D1237:D1237)</f>
        <v>2094823</v>
      </c>
      <c r="E1236" s="214">
        <f t="shared" si="305"/>
        <v>0</v>
      </c>
      <c r="F1236" s="214">
        <f t="shared" si="305"/>
        <v>0</v>
      </c>
      <c r="G1236" s="214">
        <f t="shared" si="305"/>
        <v>0</v>
      </c>
      <c r="H1236" s="214">
        <f t="shared" si="305"/>
        <v>0</v>
      </c>
      <c r="I1236" s="214">
        <f t="shared" si="305"/>
        <v>0</v>
      </c>
      <c r="J1236" s="214">
        <f t="shared" si="305"/>
        <v>0</v>
      </c>
      <c r="K1236" s="215">
        <f t="shared" si="305"/>
        <v>0</v>
      </c>
      <c r="L1236" s="214">
        <f t="shared" si="305"/>
        <v>0</v>
      </c>
      <c r="M1236" s="214">
        <f t="shared" si="305"/>
        <v>454</v>
      </c>
      <c r="N1236" s="214">
        <f t="shared" si="305"/>
        <v>2063865.68</v>
      </c>
      <c r="O1236" s="214">
        <f t="shared" si="305"/>
        <v>0</v>
      </c>
      <c r="P1236" s="214">
        <f t="shared" si="305"/>
        <v>0</v>
      </c>
      <c r="Q1236" s="214">
        <f t="shared" si="305"/>
        <v>0</v>
      </c>
      <c r="R1236" s="214">
        <f t="shared" si="305"/>
        <v>0</v>
      </c>
      <c r="S1236" s="214">
        <f t="shared" si="305"/>
        <v>0</v>
      </c>
      <c r="T1236" s="214">
        <f t="shared" si="305"/>
        <v>0</v>
      </c>
      <c r="U1236" s="214">
        <f t="shared" si="305"/>
        <v>0</v>
      </c>
      <c r="V1236" s="214">
        <f t="shared" si="305"/>
        <v>0</v>
      </c>
      <c r="W1236" s="214">
        <f t="shared" si="305"/>
        <v>0</v>
      </c>
      <c r="X1236" s="214">
        <f t="shared" si="305"/>
        <v>0</v>
      </c>
      <c r="Y1236" s="214">
        <f t="shared" si="305"/>
        <v>0</v>
      </c>
      <c r="Z1236" s="214">
        <f t="shared" si="305"/>
        <v>0</v>
      </c>
      <c r="AA1236" s="214">
        <f t="shared" si="305"/>
        <v>0</v>
      </c>
      <c r="AB1236" s="214">
        <f t="shared" si="305"/>
        <v>0</v>
      </c>
      <c r="AC1236" s="214">
        <f t="shared" si="305"/>
        <v>30957.320000000065</v>
      </c>
      <c r="AD1236" s="214">
        <f t="shared" si="305"/>
        <v>0</v>
      </c>
      <c r="AE1236" s="214">
        <f t="shared" si="305"/>
        <v>0</v>
      </c>
      <c r="AF1236" s="216" t="s">
        <v>1705</v>
      </c>
      <c r="AG1236" s="216" t="s">
        <v>1705</v>
      </c>
      <c r="AH1236" s="216" t="s">
        <v>1705</v>
      </c>
      <c r="AI1236" s="211"/>
      <c r="AJ1236" s="213"/>
      <c r="AK1236" s="219"/>
      <c r="AL1236" s="211"/>
      <c r="AM1236" s="159"/>
      <c r="AR1236" s="163"/>
      <c r="AS1236" s="164"/>
      <c r="BF1236" s="160"/>
      <c r="BR1236" s="160"/>
      <c r="BU1236" s="164"/>
      <c r="CH1236" s="160"/>
      <c r="CK1236" s="160"/>
      <c r="EJ1236" s="165"/>
      <c r="EL1236" s="164"/>
      <c r="EU1236" s="160"/>
      <c r="FI1236" s="165"/>
      <c r="FL1236" s="166"/>
      <c r="FM1236" s="164"/>
      <c r="FV1236" s="160"/>
      <c r="GN1236" s="167"/>
      <c r="GX1236" s="160"/>
      <c r="GZ1236" s="164"/>
      <c r="HB1236" s="160"/>
      <c r="HO1236" s="157" t="s">
        <v>1707</v>
      </c>
      <c r="HP1236" s="157">
        <v>44890.35</v>
      </c>
    </row>
    <row r="1237" spans="1:224" s="157" customFormat="1" ht="63" x14ac:dyDescent="0.85">
      <c r="A1237" s="160"/>
      <c r="B1237" s="220">
        <v>1</v>
      </c>
      <c r="C1237" s="25" t="s">
        <v>1711</v>
      </c>
      <c r="D1237" s="214">
        <v>2094823</v>
      </c>
      <c r="E1237" s="221">
        <v>0</v>
      </c>
      <c r="F1237" s="222">
        <v>0</v>
      </c>
      <c r="G1237" s="222">
        <v>0</v>
      </c>
      <c r="H1237" s="222">
        <v>0</v>
      </c>
      <c r="I1237" s="222">
        <v>0</v>
      </c>
      <c r="J1237" s="222">
        <v>0</v>
      </c>
      <c r="K1237" s="215">
        <v>0</v>
      </c>
      <c r="L1237" s="222">
        <v>0</v>
      </c>
      <c r="M1237" s="222">
        <v>454</v>
      </c>
      <c r="N1237" s="222">
        <v>2063865.68</v>
      </c>
      <c r="O1237" s="222">
        <v>0</v>
      </c>
      <c r="P1237" s="222">
        <v>0</v>
      </c>
      <c r="Q1237" s="222">
        <v>0</v>
      </c>
      <c r="R1237" s="222">
        <v>0</v>
      </c>
      <c r="S1237" s="222">
        <v>0</v>
      </c>
      <c r="T1237" s="222">
        <v>0</v>
      </c>
      <c r="U1237" s="222">
        <v>0</v>
      </c>
      <c r="V1237" s="222">
        <v>0</v>
      </c>
      <c r="W1237" s="222">
        <v>0</v>
      </c>
      <c r="X1237" s="222">
        <v>0</v>
      </c>
      <c r="Y1237" s="222">
        <v>0</v>
      </c>
      <c r="Z1237" s="222">
        <v>0</v>
      </c>
      <c r="AA1237" s="222">
        <v>0</v>
      </c>
      <c r="AB1237" s="222">
        <v>0</v>
      </c>
      <c r="AC1237" s="222">
        <f>D1237-N1237</f>
        <v>30957.320000000065</v>
      </c>
      <c r="AD1237" s="222">
        <v>0</v>
      </c>
      <c r="AE1237" s="222">
        <v>0</v>
      </c>
      <c r="AF1237" s="228" t="s">
        <v>274</v>
      </c>
      <c r="AG1237" s="228">
        <v>2020</v>
      </c>
      <c r="AH1237" s="228">
        <v>2020</v>
      </c>
      <c r="AI1237" s="211"/>
      <c r="AJ1237" s="211"/>
      <c r="AK1237" s="219"/>
      <c r="AL1237" s="211"/>
      <c r="AM1237" s="159"/>
      <c r="AR1237" s="163"/>
      <c r="AS1237" s="164"/>
      <c r="BF1237" s="160"/>
      <c r="BR1237" s="160"/>
      <c r="BU1237" s="164"/>
      <c r="CH1237" s="160"/>
      <c r="CK1237" s="160"/>
      <c r="EJ1237" s="165"/>
      <c r="EL1237" s="164"/>
      <c r="EU1237" s="160"/>
      <c r="FI1237" s="165"/>
      <c r="FL1237" s="164"/>
      <c r="FM1237" s="164"/>
      <c r="FV1237" s="160"/>
      <c r="GN1237" s="167"/>
      <c r="GX1237" s="160"/>
      <c r="GZ1237" s="164"/>
      <c r="HO1237" s="157" t="s">
        <v>1708</v>
      </c>
      <c r="HP1237" s="157">
        <v>52429.26</v>
      </c>
    </row>
    <row r="1238" spans="1:224" s="157" customFormat="1" ht="76.5" x14ac:dyDescent="0.85">
      <c r="B1238" s="218" t="s">
        <v>840</v>
      </c>
      <c r="C1238" s="25"/>
      <c r="D1238" s="214">
        <f t="shared" si="305"/>
        <v>2852270</v>
      </c>
      <c r="E1238" s="214">
        <f t="shared" si="305"/>
        <v>0</v>
      </c>
      <c r="F1238" s="214">
        <f t="shared" si="305"/>
        <v>0</v>
      </c>
      <c r="G1238" s="214">
        <f t="shared" si="305"/>
        <v>0</v>
      </c>
      <c r="H1238" s="214">
        <f t="shared" si="305"/>
        <v>0</v>
      </c>
      <c r="I1238" s="214">
        <f t="shared" si="305"/>
        <v>0</v>
      </c>
      <c r="J1238" s="214">
        <f t="shared" si="305"/>
        <v>0</v>
      </c>
      <c r="K1238" s="215">
        <f t="shared" si="305"/>
        <v>0</v>
      </c>
      <c r="L1238" s="214">
        <f t="shared" si="305"/>
        <v>0</v>
      </c>
      <c r="M1238" s="214">
        <f t="shared" si="305"/>
        <v>720</v>
      </c>
      <c r="N1238" s="214">
        <f t="shared" si="305"/>
        <v>2810922.71</v>
      </c>
      <c r="O1238" s="214">
        <f t="shared" si="305"/>
        <v>0</v>
      </c>
      <c r="P1238" s="214">
        <f t="shared" si="305"/>
        <v>0</v>
      </c>
      <c r="Q1238" s="214">
        <f t="shared" si="305"/>
        <v>0</v>
      </c>
      <c r="R1238" s="214">
        <f t="shared" si="305"/>
        <v>0</v>
      </c>
      <c r="S1238" s="214">
        <f t="shared" si="305"/>
        <v>0</v>
      </c>
      <c r="T1238" s="214">
        <f t="shared" si="305"/>
        <v>0</v>
      </c>
      <c r="U1238" s="214">
        <f t="shared" si="305"/>
        <v>0</v>
      </c>
      <c r="V1238" s="214">
        <f t="shared" si="305"/>
        <v>0</v>
      </c>
      <c r="W1238" s="214">
        <f t="shared" si="305"/>
        <v>0</v>
      </c>
      <c r="X1238" s="214">
        <f t="shared" si="305"/>
        <v>0</v>
      </c>
      <c r="Y1238" s="214">
        <f t="shared" si="305"/>
        <v>0</v>
      </c>
      <c r="Z1238" s="214">
        <f t="shared" si="305"/>
        <v>0</v>
      </c>
      <c r="AA1238" s="214">
        <f t="shared" si="305"/>
        <v>0</v>
      </c>
      <c r="AB1238" s="214">
        <f t="shared" si="305"/>
        <v>0</v>
      </c>
      <c r="AC1238" s="214">
        <f t="shared" si="305"/>
        <v>41347.290000000037</v>
      </c>
      <c r="AD1238" s="214">
        <f t="shared" si="305"/>
        <v>0</v>
      </c>
      <c r="AE1238" s="214">
        <f t="shared" si="305"/>
        <v>0</v>
      </c>
      <c r="AF1238" s="216" t="s">
        <v>1705</v>
      </c>
      <c r="AG1238" s="216" t="s">
        <v>1705</v>
      </c>
      <c r="AH1238" s="216" t="s">
        <v>1705</v>
      </c>
      <c r="AI1238" s="211"/>
      <c r="AJ1238" s="213"/>
      <c r="AK1238" s="219"/>
      <c r="AL1238" s="211"/>
      <c r="AM1238" s="159"/>
      <c r="AR1238" s="163"/>
      <c r="AS1238" s="164"/>
      <c r="BF1238" s="160"/>
      <c r="BR1238" s="160"/>
      <c r="BU1238" s="164"/>
      <c r="CH1238" s="160"/>
      <c r="CK1238" s="160"/>
      <c r="EJ1238" s="165"/>
      <c r="EL1238" s="164"/>
      <c r="EU1238" s="160"/>
      <c r="FI1238" s="165"/>
      <c r="FL1238" s="166"/>
      <c r="FM1238" s="164"/>
      <c r="FV1238" s="160"/>
      <c r="GN1238" s="167"/>
      <c r="GX1238" s="160"/>
      <c r="GZ1238" s="164"/>
      <c r="HB1238" s="160"/>
      <c r="HO1238" s="157" t="s">
        <v>1707</v>
      </c>
      <c r="HP1238" s="157">
        <v>44890.35</v>
      </c>
    </row>
    <row r="1239" spans="1:224" s="169" customFormat="1" ht="76.5" customHeight="1" x14ac:dyDescent="0.85">
      <c r="A1239" s="160"/>
      <c r="B1239" s="220">
        <v>2</v>
      </c>
      <c r="C1239" s="177" t="s">
        <v>1737</v>
      </c>
      <c r="D1239" s="222">
        <v>2852270</v>
      </c>
      <c r="E1239" s="221">
        <v>0</v>
      </c>
      <c r="F1239" s="222">
        <v>0</v>
      </c>
      <c r="G1239" s="222">
        <v>0</v>
      </c>
      <c r="H1239" s="222">
        <v>0</v>
      </c>
      <c r="I1239" s="222">
        <v>0</v>
      </c>
      <c r="J1239" s="222">
        <v>0</v>
      </c>
      <c r="K1239" s="215">
        <v>0</v>
      </c>
      <c r="L1239" s="222">
        <v>0</v>
      </c>
      <c r="M1239" s="222">
        <v>720</v>
      </c>
      <c r="N1239" s="222">
        <v>2810922.71</v>
      </c>
      <c r="O1239" s="222">
        <v>0</v>
      </c>
      <c r="P1239" s="222">
        <v>0</v>
      </c>
      <c r="Q1239" s="222">
        <v>0</v>
      </c>
      <c r="R1239" s="222">
        <v>0</v>
      </c>
      <c r="S1239" s="222">
        <v>0</v>
      </c>
      <c r="T1239" s="222">
        <v>0</v>
      </c>
      <c r="U1239" s="222">
        <v>0</v>
      </c>
      <c r="V1239" s="222">
        <v>0</v>
      </c>
      <c r="W1239" s="222">
        <v>0</v>
      </c>
      <c r="X1239" s="222">
        <v>0</v>
      </c>
      <c r="Y1239" s="222">
        <v>0</v>
      </c>
      <c r="Z1239" s="222">
        <v>0</v>
      </c>
      <c r="AA1239" s="222">
        <v>0</v>
      </c>
      <c r="AB1239" s="222">
        <v>0</v>
      </c>
      <c r="AC1239" s="222">
        <f>2852270-N1239</f>
        <v>41347.290000000037</v>
      </c>
      <c r="AD1239" s="222">
        <v>0</v>
      </c>
      <c r="AE1239" s="222">
        <v>0</v>
      </c>
      <c r="AF1239" s="228" t="s">
        <v>274</v>
      </c>
      <c r="AG1239" s="228">
        <v>2020</v>
      </c>
      <c r="AH1239" s="228">
        <v>2020</v>
      </c>
      <c r="AI1239" s="211"/>
      <c r="AJ1239" s="211"/>
      <c r="AK1239" s="219"/>
      <c r="AL1239" s="211"/>
      <c r="AM1239" s="159"/>
      <c r="AR1239" s="168"/>
      <c r="AS1239" s="164"/>
      <c r="BF1239" s="160"/>
      <c r="BR1239" s="160"/>
      <c r="BU1239" s="164"/>
      <c r="CH1239" s="160"/>
      <c r="CK1239" s="160"/>
      <c r="EJ1239" s="165"/>
      <c r="EL1239" s="164"/>
      <c r="EU1239" s="160"/>
      <c r="FI1239" s="165"/>
      <c r="FL1239" s="164"/>
      <c r="FM1239" s="164"/>
      <c r="FV1239" s="160"/>
      <c r="GN1239" s="167"/>
      <c r="GX1239" s="160"/>
      <c r="GZ1239" s="164"/>
      <c r="HO1239" s="169" t="s">
        <v>1708</v>
      </c>
      <c r="HP1239" s="169">
        <v>52429.26</v>
      </c>
    </row>
    <row r="1240" spans="1:224" s="157" customFormat="1" ht="76.5" x14ac:dyDescent="0.85">
      <c r="B1240" s="218" t="s">
        <v>911</v>
      </c>
      <c r="C1240" s="25"/>
      <c r="D1240" s="214">
        <f t="shared" ref="D1240:AE1240" si="306">SUM(D1241:D1241)</f>
        <v>3227588</v>
      </c>
      <c r="E1240" s="214">
        <f t="shared" si="306"/>
        <v>0</v>
      </c>
      <c r="F1240" s="214">
        <f t="shared" si="306"/>
        <v>0</v>
      </c>
      <c r="G1240" s="214">
        <f t="shared" si="306"/>
        <v>0</v>
      </c>
      <c r="H1240" s="214">
        <f t="shared" si="306"/>
        <v>0</v>
      </c>
      <c r="I1240" s="214">
        <f t="shared" si="306"/>
        <v>0</v>
      </c>
      <c r="J1240" s="214">
        <f t="shared" si="306"/>
        <v>0</v>
      </c>
      <c r="K1240" s="215">
        <f t="shared" si="306"/>
        <v>0</v>
      </c>
      <c r="L1240" s="214">
        <f t="shared" si="306"/>
        <v>0</v>
      </c>
      <c r="M1240" s="214">
        <f t="shared" si="306"/>
        <v>824.2</v>
      </c>
      <c r="N1240" s="214">
        <f t="shared" si="306"/>
        <v>3188598</v>
      </c>
      <c r="O1240" s="214">
        <f t="shared" si="306"/>
        <v>0</v>
      </c>
      <c r="P1240" s="214">
        <f t="shared" si="306"/>
        <v>0</v>
      </c>
      <c r="Q1240" s="214">
        <f t="shared" si="306"/>
        <v>0</v>
      </c>
      <c r="R1240" s="214">
        <f t="shared" si="306"/>
        <v>0</v>
      </c>
      <c r="S1240" s="214">
        <f t="shared" si="306"/>
        <v>0</v>
      </c>
      <c r="T1240" s="214">
        <f t="shared" si="306"/>
        <v>0</v>
      </c>
      <c r="U1240" s="214">
        <f t="shared" si="306"/>
        <v>0</v>
      </c>
      <c r="V1240" s="214">
        <f t="shared" si="306"/>
        <v>0</v>
      </c>
      <c r="W1240" s="214">
        <f t="shared" si="306"/>
        <v>0</v>
      </c>
      <c r="X1240" s="214">
        <f t="shared" si="306"/>
        <v>0</v>
      </c>
      <c r="Y1240" s="214">
        <f t="shared" si="306"/>
        <v>0</v>
      </c>
      <c r="Z1240" s="214">
        <f t="shared" si="306"/>
        <v>0</v>
      </c>
      <c r="AA1240" s="214">
        <f t="shared" si="306"/>
        <v>0</v>
      </c>
      <c r="AB1240" s="214">
        <f t="shared" si="306"/>
        <v>0</v>
      </c>
      <c r="AC1240" s="222">
        <f t="shared" si="306"/>
        <v>38990</v>
      </c>
      <c r="AD1240" s="214">
        <f t="shared" si="306"/>
        <v>0</v>
      </c>
      <c r="AE1240" s="214">
        <f t="shared" si="306"/>
        <v>0</v>
      </c>
      <c r="AF1240" s="216" t="s">
        <v>1705</v>
      </c>
      <c r="AG1240" s="216" t="s">
        <v>1705</v>
      </c>
      <c r="AH1240" s="216" t="s">
        <v>1705</v>
      </c>
      <c r="AI1240" s="211"/>
      <c r="AJ1240" s="213"/>
      <c r="AK1240" s="219"/>
      <c r="AL1240" s="211"/>
      <c r="AM1240" s="159"/>
      <c r="AR1240" s="163"/>
      <c r="AS1240" s="164"/>
      <c r="BF1240" s="160"/>
      <c r="BR1240" s="160"/>
      <c r="BU1240" s="164"/>
      <c r="CH1240" s="160"/>
      <c r="CK1240" s="160"/>
      <c r="EJ1240" s="165"/>
      <c r="EL1240" s="164"/>
      <c r="EU1240" s="160"/>
      <c r="FI1240" s="165"/>
      <c r="FL1240" s="166"/>
      <c r="FM1240" s="164"/>
      <c r="FV1240" s="160"/>
      <c r="GN1240" s="167"/>
      <c r="GX1240" s="160"/>
      <c r="GZ1240" s="164"/>
      <c r="HB1240" s="160"/>
      <c r="HO1240" s="157" t="s">
        <v>1707</v>
      </c>
      <c r="HP1240" s="157">
        <v>44890.35</v>
      </c>
    </row>
    <row r="1241" spans="1:224" s="169" customFormat="1" ht="76.5" customHeight="1" x14ac:dyDescent="0.85">
      <c r="A1241" s="160"/>
      <c r="B1241" s="220">
        <v>3</v>
      </c>
      <c r="C1241" s="177" t="s">
        <v>3</v>
      </c>
      <c r="D1241" s="222">
        <v>3227588</v>
      </c>
      <c r="E1241" s="221">
        <v>0</v>
      </c>
      <c r="F1241" s="222">
        <v>0</v>
      </c>
      <c r="G1241" s="222">
        <v>0</v>
      </c>
      <c r="H1241" s="222">
        <v>0</v>
      </c>
      <c r="I1241" s="222">
        <v>0</v>
      </c>
      <c r="J1241" s="222">
        <v>0</v>
      </c>
      <c r="K1241" s="215">
        <v>0</v>
      </c>
      <c r="L1241" s="222">
        <v>0</v>
      </c>
      <c r="M1241" s="222">
        <v>824.2</v>
      </c>
      <c r="N1241" s="222">
        <v>3188598</v>
      </c>
      <c r="O1241" s="222">
        <v>0</v>
      </c>
      <c r="P1241" s="222">
        <v>0</v>
      </c>
      <c r="Q1241" s="222">
        <v>0</v>
      </c>
      <c r="R1241" s="222">
        <v>0</v>
      </c>
      <c r="S1241" s="222">
        <v>0</v>
      </c>
      <c r="T1241" s="222">
        <v>0</v>
      </c>
      <c r="U1241" s="222">
        <v>0</v>
      </c>
      <c r="V1241" s="222">
        <v>0</v>
      </c>
      <c r="W1241" s="222">
        <v>0</v>
      </c>
      <c r="X1241" s="222">
        <v>0</v>
      </c>
      <c r="Y1241" s="222">
        <v>0</v>
      </c>
      <c r="Z1241" s="222">
        <v>0</v>
      </c>
      <c r="AA1241" s="222">
        <v>0</v>
      </c>
      <c r="AB1241" s="222">
        <v>0</v>
      </c>
      <c r="AC1241" s="222">
        <f>D1241-N1241</f>
        <v>38990</v>
      </c>
      <c r="AD1241" s="222">
        <v>0</v>
      </c>
      <c r="AE1241" s="222">
        <v>0</v>
      </c>
      <c r="AF1241" s="228" t="s">
        <v>274</v>
      </c>
      <c r="AG1241" s="228">
        <v>2020</v>
      </c>
      <c r="AH1241" s="228">
        <v>2020</v>
      </c>
      <c r="AI1241" s="211"/>
      <c r="AJ1241" s="211"/>
      <c r="AK1241" s="219"/>
      <c r="AL1241" s="211"/>
      <c r="AM1241" s="159"/>
      <c r="AR1241" s="168"/>
      <c r="AS1241" s="164"/>
      <c r="BF1241" s="160"/>
      <c r="BR1241" s="160"/>
      <c r="BU1241" s="164"/>
      <c r="CH1241" s="160"/>
      <c r="CK1241" s="160"/>
      <c r="EJ1241" s="165"/>
      <c r="EL1241" s="164"/>
      <c r="EU1241" s="160"/>
      <c r="FI1241" s="165"/>
      <c r="FL1241" s="164"/>
      <c r="FM1241" s="164"/>
      <c r="FV1241" s="160"/>
      <c r="GN1241" s="167"/>
      <c r="GX1241" s="160"/>
      <c r="GZ1241" s="164"/>
      <c r="HO1241" s="169" t="s">
        <v>1708</v>
      </c>
      <c r="HP1241" s="169">
        <v>52429.26</v>
      </c>
    </row>
  </sheetData>
  <autoFilter ref="A18:CH1241" xr:uid="{00000000-0009-0000-0000-000000000000}"/>
  <mergeCells count="43"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  <mergeCell ref="Z12:Z16"/>
    <mergeCell ref="AA12:AA16"/>
    <mergeCell ref="E11:T11"/>
    <mergeCell ref="U11:AE11"/>
    <mergeCell ref="AF11:AF17"/>
    <mergeCell ref="G13:G16"/>
    <mergeCell ref="H13:H16"/>
    <mergeCell ref="I13:I16"/>
    <mergeCell ref="X12:X16"/>
    <mergeCell ref="Y12:Y16"/>
    <mergeCell ref="J13:J16"/>
    <mergeCell ref="B1233:AH1233"/>
    <mergeCell ref="B1234:AH1234"/>
    <mergeCell ref="B1235:C1235"/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</mergeCells>
  <phoneticPr fontId="44" type="noConversion"/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L1650"/>
  <sheetViews>
    <sheetView view="pageBreakPreview" topLeftCell="B1" zoomScale="40" zoomScaleNormal="40" zoomScaleSheetLayoutView="40" workbookViewId="0">
      <pane xSplit="7" ySplit="9" topLeftCell="I10" activePane="bottomRight" state="frozen"/>
      <selection activeCell="B1" sqref="B1"/>
      <selection pane="topRight" activeCell="I1" sqref="I1"/>
      <selection pane="bottomLeft" activeCell="B10" sqref="B10"/>
      <selection pane="bottomRight" activeCell="S1234" sqref="S1234"/>
    </sheetView>
  </sheetViews>
  <sheetFormatPr defaultRowHeight="15" x14ac:dyDescent="0.25"/>
  <cols>
    <col min="1" max="1" width="9.140625" style="6" hidden="1" customWidth="1"/>
    <col min="2" max="2" width="19.42578125" style="14" customWidth="1"/>
    <col min="3" max="3" width="152.140625" style="6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9" customWidth="1"/>
    <col min="16" max="16" width="46.7109375" style="16" customWidth="1"/>
    <col min="17" max="17" width="28.140625" style="16" customWidth="1"/>
    <col min="18" max="18" width="27" style="16" customWidth="1"/>
    <col min="19" max="19" width="41.42578125" style="16" customWidth="1"/>
    <col min="20" max="20" width="30.85546875" style="16" customWidth="1"/>
    <col min="21" max="24" width="32.28515625" style="16" customWidth="1"/>
    <col min="25" max="25" width="28.140625" style="6" customWidth="1"/>
    <col min="26" max="26" width="9.140625" style="6" customWidth="1"/>
    <col min="27" max="29" width="23" style="6" customWidth="1"/>
    <col min="30" max="30" width="9.140625" style="6" customWidth="1"/>
    <col min="31" max="31" width="85" style="6" customWidth="1"/>
    <col min="32" max="33" width="16" style="6" customWidth="1"/>
    <col min="34" max="34" width="27.42578125" style="6" customWidth="1"/>
    <col min="35" max="35" width="16" style="6" customWidth="1"/>
    <col min="36" max="36" width="44.85546875" style="6" customWidth="1"/>
    <col min="37" max="44" width="9.140625" style="6" customWidth="1"/>
    <col min="45" max="45" width="36" style="6" customWidth="1"/>
    <col min="46" max="131" width="9.140625" style="6" customWidth="1"/>
    <col min="132" max="150" width="9.140625" style="6"/>
    <col min="151" max="151" width="13" style="6" bestFit="1" customWidth="1"/>
    <col min="152" max="223" width="9.140625" style="6"/>
    <col min="224" max="224" width="20.5703125" style="6" bestFit="1" customWidth="1"/>
    <col min="225" max="16384" width="9.140625" style="6"/>
  </cols>
  <sheetData>
    <row r="1" spans="1:48" ht="36" x14ac:dyDescent="0.55000000000000004">
      <c r="B1" s="20"/>
      <c r="C1" s="22"/>
      <c r="D1" s="20"/>
      <c r="E1" s="75"/>
      <c r="F1" s="20"/>
      <c r="G1" s="20"/>
      <c r="H1" s="20"/>
      <c r="I1" s="20"/>
      <c r="J1" s="20"/>
      <c r="K1" s="40"/>
      <c r="L1" s="23"/>
      <c r="M1" s="21"/>
      <c r="N1" s="75"/>
      <c r="O1" s="43"/>
      <c r="P1" s="43"/>
      <c r="Q1" s="43"/>
      <c r="R1" s="43"/>
      <c r="S1" s="263" t="s">
        <v>998</v>
      </c>
      <c r="T1" s="263"/>
      <c r="U1" s="263"/>
      <c r="V1" s="123"/>
      <c r="W1" s="123"/>
      <c r="X1" s="123"/>
    </row>
    <row r="2" spans="1:48" ht="112.5" customHeight="1" x14ac:dyDescent="0.25">
      <c r="B2" s="20"/>
      <c r="C2" s="22"/>
      <c r="D2" s="20"/>
      <c r="E2" s="75"/>
      <c r="F2" s="20"/>
      <c r="G2" s="20"/>
      <c r="H2" s="20"/>
      <c r="I2" s="20"/>
      <c r="J2" s="20"/>
      <c r="K2" s="40"/>
      <c r="L2" s="23"/>
      <c r="M2" s="21"/>
      <c r="N2" s="75"/>
      <c r="O2" s="264" t="s">
        <v>999</v>
      </c>
      <c r="P2" s="264"/>
      <c r="Q2" s="264"/>
      <c r="R2" s="264"/>
      <c r="S2" s="264"/>
      <c r="T2" s="264"/>
      <c r="U2" s="264"/>
      <c r="V2" s="124"/>
      <c r="W2" s="124"/>
      <c r="X2" s="124"/>
    </row>
    <row r="3" spans="1:48" ht="15" customHeight="1" x14ac:dyDescent="0.25">
      <c r="B3" s="20"/>
      <c r="C3" s="22"/>
      <c r="D3" s="20"/>
      <c r="E3" s="75"/>
      <c r="F3" s="20"/>
      <c r="G3" s="20"/>
      <c r="H3" s="20"/>
      <c r="I3" s="20"/>
      <c r="J3" s="20"/>
      <c r="K3" s="40"/>
      <c r="L3" s="23"/>
      <c r="M3" s="21"/>
      <c r="N3" s="75"/>
      <c r="O3" s="264"/>
      <c r="P3" s="264"/>
      <c r="Q3" s="264"/>
      <c r="R3" s="264"/>
      <c r="S3" s="264"/>
      <c r="T3" s="264"/>
      <c r="U3" s="264"/>
      <c r="V3" s="124"/>
      <c r="W3" s="124"/>
      <c r="X3" s="124"/>
    </row>
    <row r="4" spans="1:48" ht="15" customHeight="1" x14ac:dyDescent="0.25">
      <c r="B4" s="261" t="s">
        <v>1000</v>
      </c>
      <c r="C4" s="261"/>
      <c r="D4" s="261"/>
      <c r="E4" s="261"/>
      <c r="F4" s="261"/>
      <c r="G4" s="261"/>
      <c r="H4" s="261"/>
      <c r="I4" s="261"/>
      <c r="J4" s="261"/>
      <c r="K4" s="261"/>
      <c r="L4" s="262"/>
      <c r="M4" s="261"/>
      <c r="N4" s="261"/>
      <c r="O4" s="261"/>
      <c r="P4" s="261"/>
      <c r="Q4" s="261"/>
      <c r="R4" s="261"/>
      <c r="S4" s="261"/>
      <c r="T4" s="261"/>
      <c r="U4" s="261"/>
      <c r="V4" s="122"/>
      <c r="W4" s="122"/>
      <c r="X4" s="122"/>
    </row>
    <row r="5" spans="1:48" ht="15" customHeight="1" x14ac:dyDescent="0.25"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2"/>
      <c r="M5" s="261"/>
      <c r="N5" s="261"/>
      <c r="O5" s="261"/>
      <c r="P5" s="261"/>
      <c r="Q5" s="261"/>
      <c r="R5" s="261"/>
      <c r="S5" s="261"/>
      <c r="T5" s="261"/>
      <c r="U5" s="261"/>
      <c r="V5" s="122"/>
      <c r="W5" s="122"/>
      <c r="X5" s="122"/>
    </row>
    <row r="6" spans="1:48" ht="159" customHeight="1" x14ac:dyDescent="0.25"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2"/>
      <c r="M6" s="261"/>
      <c r="N6" s="261"/>
      <c r="O6" s="261"/>
      <c r="P6" s="261"/>
      <c r="Q6" s="261"/>
      <c r="R6" s="261"/>
      <c r="S6" s="261"/>
      <c r="T6" s="261"/>
      <c r="U6" s="261"/>
      <c r="V6" s="122"/>
      <c r="W6" s="122"/>
      <c r="X6" s="122"/>
    </row>
    <row r="8" spans="1:48" s="13" customFormat="1" ht="96.75" customHeight="1" x14ac:dyDescent="0.3">
      <c r="B8" s="258" t="s">
        <v>6</v>
      </c>
      <c r="C8" s="258" t="s">
        <v>253</v>
      </c>
      <c r="D8" s="258" t="s">
        <v>254</v>
      </c>
      <c r="E8" s="258"/>
      <c r="F8" s="257" t="s">
        <v>255</v>
      </c>
      <c r="G8" s="257" t="s">
        <v>256</v>
      </c>
      <c r="H8" s="257" t="s">
        <v>257</v>
      </c>
      <c r="I8" s="257" t="s">
        <v>258</v>
      </c>
      <c r="J8" s="258" t="s">
        <v>259</v>
      </c>
      <c r="K8" s="258"/>
      <c r="L8" s="265" t="s">
        <v>1027</v>
      </c>
      <c r="M8" s="260" t="s">
        <v>1029</v>
      </c>
      <c r="N8" s="260" t="s">
        <v>1030</v>
      </c>
      <c r="O8" s="258" t="s">
        <v>260</v>
      </c>
      <c r="P8" s="256" t="s">
        <v>261</v>
      </c>
      <c r="Q8" s="256"/>
      <c r="R8" s="256"/>
      <c r="S8" s="256"/>
      <c r="T8" s="255" t="s">
        <v>262</v>
      </c>
      <c r="U8" s="255" t="s">
        <v>263</v>
      </c>
      <c r="V8" s="137"/>
      <c r="W8" s="137"/>
      <c r="X8" s="137"/>
    </row>
    <row r="9" spans="1:48" s="13" customFormat="1" ht="339.75" customHeight="1" x14ac:dyDescent="0.3">
      <c r="B9" s="258"/>
      <c r="C9" s="258"/>
      <c r="D9" s="257" t="s">
        <v>264</v>
      </c>
      <c r="E9" s="257" t="s">
        <v>265</v>
      </c>
      <c r="F9" s="258"/>
      <c r="G9" s="258"/>
      <c r="H9" s="258"/>
      <c r="I9" s="258"/>
      <c r="J9" s="257" t="s">
        <v>266</v>
      </c>
      <c r="K9" s="257" t="s">
        <v>1028</v>
      </c>
      <c r="L9" s="266"/>
      <c r="M9" s="260"/>
      <c r="N9" s="260"/>
      <c r="O9" s="258"/>
      <c r="P9" s="255" t="s">
        <v>266</v>
      </c>
      <c r="Q9" s="255" t="s">
        <v>267</v>
      </c>
      <c r="R9" s="255" t="s">
        <v>268</v>
      </c>
      <c r="S9" s="255" t="s">
        <v>1031</v>
      </c>
      <c r="T9" s="256"/>
      <c r="U9" s="256"/>
      <c r="V9" s="138"/>
      <c r="W9" s="138"/>
      <c r="X9" s="138"/>
    </row>
    <row r="10" spans="1:48" s="13" customFormat="1" ht="45" customHeight="1" x14ac:dyDescent="0.3"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66"/>
      <c r="M10" s="260"/>
      <c r="N10" s="260"/>
      <c r="O10" s="258"/>
      <c r="P10" s="256"/>
      <c r="Q10" s="255"/>
      <c r="R10" s="255"/>
      <c r="S10" s="255"/>
      <c r="T10" s="256"/>
      <c r="U10" s="256"/>
      <c r="V10" s="138"/>
      <c r="W10" s="138"/>
      <c r="X10" s="138"/>
    </row>
    <row r="11" spans="1:48" s="13" customFormat="1" ht="48" customHeight="1" x14ac:dyDescent="0.3">
      <c r="B11" s="259"/>
      <c r="C11" s="259"/>
      <c r="D11" s="259"/>
      <c r="E11" s="259"/>
      <c r="F11" s="258"/>
      <c r="G11" s="259"/>
      <c r="H11" s="259"/>
      <c r="I11" s="182" t="s">
        <v>38</v>
      </c>
      <c r="J11" s="182" t="s">
        <v>38</v>
      </c>
      <c r="K11" s="182" t="s">
        <v>38</v>
      </c>
      <c r="L11" s="44" t="s">
        <v>269</v>
      </c>
      <c r="M11" s="260"/>
      <c r="N11" s="260"/>
      <c r="O11" s="258"/>
      <c r="P11" s="45" t="s">
        <v>36</v>
      </c>
      <c r="Q11" s="45" t="s">
        <v>36</v>
      </c>
      <c r="R11" s="45" t="s">
        <v>36</v>
      </c>
      <c r="S11" s="45" t="s">
        <v>36</v>
      </c>
      <c r="T11" s="45" t="s">
        <v>270</v>
      </c>
      <c r="U11" s="45" t="s">
        <v>270</v>
      </c>
      <c r="V11" s="139"/>
      <c r="W11" s="139"/>
      <c r="X11" s="139"/>
    </row>
    <row r="12" spans="1:48" s="13" customFormat="1" ht="40.5" customHeight="1" x14ac:dyDescent="0.3">
      <c r="B12" s="182">
        <v>1</v>
      </c>
      <c r="C12" s="182">
        <v>2</v>
      </c>
      <c r="D12" s="182">
        <v>3</v>
      </c>
      <c r="E12" s="182">
        <v>4</v>
      </c>
      <c r="F12" s="182">
        <v>5</v>
      </c>
      <c r="G12" s="182">
        <v>6</v>
      </c>
      <c r="H12" s="182">
        <v>7</v>
      </c>
      <c r="I12" s="182">
        <v>8</v>
      </c>
      <c r="J12" s="182">
        <v>9</v>
      </c>
      <c r="K12" s="182">
        <v>10</v>
      </c>
      <c r="L12" s="44">
        <v>11</v>
      </c>
      <c r="M12" s="182">
        <v>12</v>
      </c>
      <c r="N12" s="182">
        <v>13</v>
      </c>
      <c r="O12" s="181">
        <v>14</v>
      </c>
      <c r="P12" s="182">
        <v>15</v>
      </c>
      <c r="Q12" s="182">
        <v>16</v>
      </c>
      <c r="R12" s="182">
        <v>17</v>
      </c>
      <c r="S12" s="182">
        <v>18</v>
      </c>
      <c r="T12" s="182">
        <v>19</v>
      </c>
      <c r="U12" s="182">
        <v>20</v>
      </c>
      <c r="V12" s="140"/>
      <c r="W12" s="140"/>
      <c r="X12" s="140"/>
    </row>
    <row r="13" spans="1:48" s="173" customFormat="1" ht="36" customHeight="1" x14ac:dyDescent="0.9">
      <c r="A13" s="172"/>
      <c r="B13" s="90" t="s">
        <v>777</v>
      </c>
      <c r="C13" s="184"/>
      <c r="D13" s="185" t="s">
        <v>915</v>
      </c>
      <c r="E13" s="185" t="s">
        <v>915</v>
      </c>
      <c r="F13" s="185" t="s">
        <v>915</v>
      </c>
      <c r="G13" s="185" t="s">
        <v>915</v>
      </c>
      <c r="H13" s="185" t="s">
        <v>915</v>
      </c>
      <c r="I13" s="186">
        <f>I14+I544+I955</f>
        <v>2613574.2900000005</v>
      </c>
      <c r="J13" s="186">
        <f>J14+J544+J955</f>
        <v>2171527.71</v>
      </c>
      <c r="K13" s="186">
        <f>K14+K544+K955</f>
        <v>1933006.9390000009</v>
      </c>
      <c r="L13" s="187">
        <f>L14+L544+L955</f>
        <v>99467.19</v>
      </c>
      <c r="M13" s="185" t="s">
        <v>915</v>
      </c>
      <c r="N13" s="185" t="s">
        <v>915</v>
      </c>
      <c r="O13" s="188" t="s">
        <v>915</v>
      </c>
      <c r="P13" s="186">
        <f>P14+P544+P955</f>
        <v>3291470140.5300007</v>
      </c>
      <c r="Q13" s="186">
        <f>Q14+Q544+Q955</f>
        <v>0</v>
      </c>
      <c r="R13" s="186">
        <f>R14+R544+R955</f>
        <v>8635654.8399999999</v>
      </c>
      <c r="S13" s="186">
        <f>S14+S544+S955</f>
        <v>3282834485.6900005</v>
      </c>
      <c r="T13" s="189">
        <f>P13/I13</f>
        <v>1259.3750072931732</v>
      </c>
      <c r="U13" s="189">
        <f>MAX(U14:U1226)</f>
        <v>29658.561655716163</v>
      </c>
      <c r="V13" s="170"/>
      <c r="W13" s="170"/>
      <c r="X13" s="170"/>
    </row>
    <row r="14" spans="1:48" s="173" customFormat="1" ht="36" customHeight="1" x14ac:dyDescent="0.9">
      <c r="B14" s="90" t="s">
        <v>778</v>
      </c>
      <c r="C14" s="184"/>
      <c r="D14" s="185" t="s">
        <v>915</v>
      </c>
      <c r="E14" s="185" t="s">
        <v>915</v>
      </c>
      <c r="F14" s="185" t="s">
        <v>915</v>
      </c>
      <c r="G14" s="185" t="s">
        <v>915</v>
      </c>
      <c r="H14" s="185" t="s">
        <v>915</v>
      </c>
      <c r="I14" s="186">
        <f>I15+I117+I150+I190+I224+I231+I259+I267+I274+I279+I281+I284+I290+I296+I298+I316+I333+I340+I344+I347+I351+I355+I357+I373+I376+I378+I380+I385+I388+I390+I395+I397+I403+I405+I407+I413+I415+I420+I428+I434+I437+I447+I451+I453+I455+I457+I459+I461+I467+I479+I488+I490+I492+I498+I500+I502+I505+I507+I509+I516+I518+I521+I523+I532+I538+I542+I449</f>
        <v>1242278.5900000003</v>
      </c>
      <c r="J14" s="186">
        <f>J15+J117+J150+J190+J224+J231+J259+J267+J274+J279+J281+J284+J290+J296+J298+J316+J333+J340+J344+J347+J351+J355+J357+J373+J376+J378+J380+J385+J388+J390+J395+J397+J403+J405+J407+J413+J415+J420+J428+J434+J437+J447+J451+J453+J455+J457+J459+J461+J467+J479+J488+J490+J492+J498+J500+J502+J505+J507+J509+J516+J518+J521+J523+J532+J538+J542+J449</f>
        <v>1009568.7299999999</v>
      </c>
      <c r="K14" s="186">
        <f>K15+K117+K150+K190+K224+K231+K259+K267+K274+K279+K281+K284+K290+K296+K298+K316+K333+K340+K344+K347+K351+K355+K357+K373+K376+K378+K380+K385+K388+K390+K395+K397+K403+K405+K407+K413+K415+K420+K428+K434+K437+K447+K451+K453+K455+K457+K459+K461+K467+K479+K488+K490+K492+K498+K500+K502+K505+K507+K509+K516+K518+K521+K523+K532+K538+K542+K449</f>
        <v>938359.06900000037</v>
      </c>
      <c r="L14" s="187">
        <f>L15+L117+L150+L190+L224+L231+L259+L267+L274+L279+L281+L284+L290+L296+L298+L316+L333+L340+L344+L347+L351+L355+L357+L373+L376+L378+L380+L385+L388+L390+L395+L397+L403+L405+L407+L413+L415+L420+L428+L434+L437+L447+L451+L453+L455+L457+L459+L461+L467+L479+L488+L490+L492+L498+L500+L502+L505+L507+L509+L516+L518+L521+L523+L532+L538+L542+L449</f>
        <v>46061</v>
      </c>
      <c r="M14" s="185" t="s">
        <v>915</v>
      </c>
      <c r="N14" s="185" t="s">
        <v>915</v>
      </c>
      <c r="O14" s="188" t="s">
        <v>915</v>
      </c>
      <c r="P14" s="186">
        <v>1546083122.99</v>
      </c>
      <c r="Q14" s="186">
        <f>Q15+Q117+Q150+Q190+Q224+Q231+Q259+Q267+Q274+Q279+Q281+Q284+Q290+Q296+Q298+Q316+Q333+Q340+Q344+Q347+Q351+Q355+Q357+Q373+Q376+Q378+Q380+Q385+Q388+Q390+Q395+Q397+Q403+Q405+Q407+Q413+Q415+Q420+Q428+Q434+Q437+Q447+Q451+Q453+Q455+Q457+Q459+Q461+Q467+Q479+Q488+Q490+Q492+Q498+Q500+Q502+Q505+Q507+Q509+Q516+Q518+Q521+Q523+Q532+Q538+Q542+Q449</f>
        <v>0</v>
      </c>
      <c r="R14" s="186">
        <f>R15+R117+R150+R190+R224+R231+R259+R267+R274+R279+R281+R284+R290+R296+R298+R316+R333+R340+R344+R347+R351+R355+R357+R373+R376+R378+R380+R385+R388+R390+R395+R397+R403+R405+R407+R413+R415+R420+R428+R434+R437+R447+R451+R453+R455+R457+R459+R461+R467+R479+R488+R490+R492+R498+R500+R502+R505+R507+R509+R516+R518+R521+R523+R532+R538+R542+R449</f>
        <v>4260660.97</v>
      </c>
      <c r="S14" s="186">
        <f>S15+S117+S150+S190+S224+S231+S259+S267+S274+S279+S281+S284+S290+S296+S298+S316+S333+S340+S344+S347+S351+S355+S357+S373+S376+S378+S380+S385+S388+S390+S395+S397+S403+S405+S407+S413+S415+S420+S428+S434+S437+S447+S451+S453+S455+S457+S459+S461+S467+S479+S488+S490+S492+S498+S500+S502+S505+S507+S509+S516+S518+S521+S523+S532+S538+S542+S449</f>
        <v>1541822462.0199997</v>
      </c>
      <c r="T14" s="189">
        <f t="shared" ref="T14:T77" si="0">P14/I14</f>
        <v>1244.5542694171359</v>
      </c>
      <c r="U14" s="189">
        <f>MAX(U15:U543)</f>
        <v>29658.561655716163</v>
      </c>
      <c r="V14" s="170"/>
      <c r="W14" s="170"/>
      <c r="X14" s="170"/>
    </row>
    <row r="15" spans="1:48" s="173" customFormat="1" ht="36" customHeight="1" x14ac:dyDescent="0.9">
      <c r="B15" s="90" t="s">
        <v>1117</v>
      </c>
      <c r="C15" s="190"/>
      <c r="D15" s="185" t="s">
        <v>915</v>
      </c>
      <c r="E15" s="185" t="s">
        <v>915</v>
      </c>
      <c r="F15" s="185" t="s">
        <v>915</v>
      </c>
      <c r="G15" s="185" t="s">
        <v>915</v>
      </c>
      <c r="H15" s="185" t="s">
        <v>915</v>
      </c>
      <c r="I15" s="186">
        <f>SUM(I16:I116)</f>
        <v>314223.05</v>
      </c>
      <c r="J15" s="186">
        <f>SUM(J16:J116)</f>
        <v>270865.70000000013</v>
      </c>
      <c r="K15" s="186">
        <f>SUM(K16:K116)</f>
        <v>249881.53999999998</v>
      </c>
      <c r="L15" s="187">
        <f>SUM(L16:L116)</f>
        <v>11952</v>
      </c>
      <c r="M15" s="185" t="s">
        <v>915</v>
      </c>
      <c r="N15" s="185" t="s">
        <v>915</v>
      </c>
      <c r="O15" s="188" t="s">
        <v>915</v>
      </c>
      <c r="P15" s="186">
        <v>329108529.99000001</v>
      </c>
      <c r="Q15" s="186">
        <f>SUM(Q16:Q116)</f>
        <v>0</v>
      </c>
      <c r="R15" s="186">
        <f>SUM(R16:R116)</f>
        <v>0</v>
      </c>
      <c r="S15" s="186">
        <f>SUM(S16:S116)</f>
        <v>329108529.99000001</v>
      </c>
      <c r="T15" s="189">
        <f t="shared" si="0"/>
        <v>1047.3723362751396</v>
      </c>
      <c r="U15" s="189">
        <f>MAX(U16:U116)</f>
        <v>13053.649802012333</v>
      </c>
      <c r="V15" s="170"/>
      <c r="W15" s="170"/>
      <c r="X15" s="170"/>
    </row>
    <row r="16" spans="1:48" s="173" customFormat="1" ht="36" customHeight="1" x14ac:dyDescent="0.9">
      <c r="A16" s="173">
        <v>1</v>
      </c>
      <c r="B16" s="91">
        <f>SUBTOTAL(103,$A16:A$16)</f>
        <v>1</v>
      </c>
      <c r="C16" s="90" t="s">
        <v>490</v>
      </c>
      <c r="D16" s="185">
        <v>1994</v>
      </c>
      <c r="E16" s="185"/>
      <c r="F16" s="191" t="s">
        <v>273</v>
      </c>
      <c r="G16" s="185">
        <v>5</v>
      </c>
      <c r="H16" s="185">
        <v>1</v>
      </c>
      <c r="I16" s="189">
        <v>1202.5999999999999</v>
      </c>
      <c r="J16" s="189">
        <v>621</v>
      </c>
      <c r="K16" s="189">
        <v>532</v>
      </c>
      <c r="L16" s="187">
        <v>52</v>
      </c>
      <c r="M16" s="185" t="s">
        <v>271</v>
      </c>
      <c r="N16" s="185" t="s">
        <v>275</v>
      </c>
      <c r="O16" s="188" t="s">
        <v>1100</v>
      </c>
      <c r="P16" s="189">
        <v>2167261.7599999998</v>
      </c>
      <c r="Q16" s="189">
        <v>0</v>
      </c>
      <c r="R16" s="189">
        <v>0</v>
      </c>
      <c r="S16" s="189">
        <f>P16-Q16-R16</f>
        <v>2167261.7599999998</v>
      </c>
      <c r="T16" s="189">
        <f t="shared" si="0"/>
        <v>1802.1468152336604</v>
      </c>
      <c r="U16" s="189">
        <f>Y16</f>
        <v>1882.34036088475</v>
      </c>
      <c r="V16" s="170">
        <f>U16-T16</f>
        <v>80.193545651089607</v>
      </c>
      <c r="W16" s="170"/>
      <c r="X16" s="170"/>
      <c r="Y16" s="173">
        <f>AA16*5221.8/I16</f>
        <v>1882.34036088475</v>
      </c>
      <c r="AA16" s="173">
        <f t="shared" ref="AA16:AA79" si="1">VLOOKUP(C16,AC:AE,2,FALSE)</f>
        <v>433.51</v>
      </c>
      <c r="AC16" s="173" t="s">
        <v>490</v>
      </c>
      <c r="AD16" s="173">
        <v>433.51</v>
      </c>
      <c r="AH16" s="173" t="e">
        <f t="shared" ref="AH16:AH79" si="2">VLOOKUP(C16,AJ:AK,2,FALSE)</f>
        <v>#N/A</v>
      </c>
      <c r="AJ16" s="173" t="s">
        <v>494</v>
      </c>
      <c r="AK16" s="173">
        <v>412.3</v>
      </c>
      <c r="AS16" s="173" t="e">
        <f t="shared" ref="AS16:AS79" si="3">VLOOKUP(C16,AU:AV,2,FALSE)</f>
        <v>#N/A</v>
      </c>
      <c r="AU16" s="173" t="s">
        <v>491</v>
      </c>
      <c r="AV16" s="173">
        <v>1</v>
      </c>
    </row>
    <row r="17" spans="1:48" s="173" customFormat="1" ht="36" customHeight="1" x14ac:dyDescent="0.9">
      <c r="A17" s="173">
        <v>1</v>
      </c>
      <c r="B17" s="91">
        <f>SUBTOTAL(103,$A$16:A17)</f>
        <v>2</v>
      </c>
      <c r="C17" s="90" t="s">
        <v>1092</v>
      </c>
      <c r="D17" s="185">
        <v>1959</v>
      </c>
      <c r="E17" s="185"/>
      <c r="F17" s="191" t="s">
        <v>273</v>
      </c>
      <c r="G17" s="185">
        <v>2</v>
      </c>
      <c r="H17" s="185">
        <v>2</v>
      </c>
      <c r="I17" s="189">
        <v>648.29999999999995</v>
      </c>
      <c r="J17" s="189">
        <v>389.3</v>
      </c>
      <c r="K17" s="189">
        <v>262.89999999999998</v>
      </c>
      <c r="L17" s="187">
        <v>47</v>
      </c>
      <c r="M17" s="185" t="s">
        <v>271</v>
      </c>
      <c r="N17" s="185" t="s">
        <v>275</v>
      </c>
      <c r="O17" s="188" t="s">
        <v>1100</v>
      </c>
      <c r="P17" s="189">
        <v>2182367.5499999998</v>
      </c>
      <c r="Q17" s="189">
        <v>0</v>
      </c>
      <c r="R17" s="189">
        <v>0</v>
      </c>
      <c r="S17" s="189">
        <f t="shared" ref="S17:S80" si="4">P17-Q17-R17</f>
        <v>2182367.5499999998</v>
      </c>
      <c r="T17" s="189">
        <f t="shared" si="0"/>
        <v>3366.2926885701063</v>
      </c>
      <c r="U17" s="189">
        <f>Y17</f>
        <v>4027.3021749190193</v>
      </c>
      <c r="V17" s="170">
        <f t="shared" ref="V17:V80" si="5">U17-T17</f>
        <v>661.00948634891301</v>
      </c>
      <c r="W17" s="170"/>
      <c r="X17" s="170"/>
      <c r="Y17" s="173">
        <f t="shared" ref="Y17:Y80" si="6">AA17*5221.8/I17</f>
        <v>4027.3021749190193</v>
      </c>
      <c r="AA17" s="173">
        <f t="shared" si="1"/>
        <v>500</v>
      </c>
      <c r="AC17" s="173" t="s">
        <v>1092</v>
      </c>
      <c r="AD17" s="173">
        <v>500</v>
      </c>
      <c r="AH17" s="173" t="e">
        <f t="shared" si="2"/>
        <v>#N/A</v>
      </c>
      <c r="AJ17" s="173" t="s">
        <v>502</v>
      </c>
      <c r="AK17" s="173">
        <v>370.8</v>
      </c>
      <c r="AS17" s="173" t="e">
        <f t="shared" si="3"/>
        <v>#N/A</v>
      </c>
      <c r="AU17" s="173" t="s">
        <v>505</v>
      </c>
      <c r="AV17" s="173">
        <v>8</v>
      </c>
    </row>
    <row r="18" spans="1:48" s="173" customFormat="1" ht="36" customHeight="1" x14ac:dyDescent="0.9">
      <c r="A18" s="173">
        <v>1</v>
      </c>
      <c r="B18" s="91">
        <f>SUBTOTAL(103,$A$16:A18)</f>
        <v>3</v>
      </c>
      <c r="C18" s="90" t="s">
        <v>491</v>
      </c>
      <c r="D18" s="185">
        <v>1992</v>
      </c>
      <c r="E18" s="185"/>
      <c r="F18" s="191" t="s">
        <v>273</v>
      </c>
      <c r="G18" s="185">
        <v>9</v>
      </c>
      <c r="H18" s="185">
        <v>1</v>
      </c>
      <c r="I18" s="189">
        <v>4744.3</v>
      </c>
      <c r="J18" s="189">
        <v>4654.5</v>
      </c>
      <c r="K18" s="189">
        <v>4462.8</v>
      </c>
      <c r="L18" s="187">
        <v>245</v>
      </c>
      <c r="M18" s="185" t="s">
        <v>271</v>
      </c>
      <c r="N18" s="185" t="s">
        <v>275</v>
      </c>
      <c r="O18" s="188" t="s">
        <v>356</v>
      </c>
      <c r="P18" s="189">
        <v>2146111.33</v>
      </c>
      <c r="Q18" s="189">
        <v>0</v>
      </c>
      <c r="R18" s="189">
        <v>0</v>
      </c>
      <c r="S18" s="189">
        <f t="shared" si="4"/>
        <v>2146111.33</v>
      </c>
      <c r="T18" s="189">
        <f t="shared" si="0"/>
        <v>452.3557384651055</v>
      </c>
      <c r="U18" s="189">
        <f>AR18</f>
        <v>465.27685854604471</v>
      </c>
      <c r="V18" s="170">
        <f t="shared" si="5"/>
        <v>12.921120080939204</v>
      </c>
      <c r="W18" s="170"/>
      <c r="X18" s="170"/>
      <c r="Y18" s="173" t="e">
        <f t="shared" si="6"/>
        <v>#N/A</v>
      </c>
      <c r="AA18" s="173" t="e">
        <f t="shared" si="1"/>
        <v>#N/A</v>
      </c>
      <c r="AC18" s="173" t="s">
        <v>492</v>
      </c>
      <c r="AD18" s="173">
        <v>600</v>
      </c>
      <c r="AH18" s="173" t="e">
        <f t="shared" si="2"/>
        <v>#N/A</v>
      </c>
      <c r="AJ18" s="173" t="s">
        <v>523</v>
      </c>
      <c r="AK18" s="173">
        <v>353.32</v>
      </c>
      <c r="AR18" s="173">
        <f>AS18*2207413/I18</f>
        <v>465.27685854604471</v>
      </c>
      <c r="AS18" s="173">
        <f t="shared" si="3"/>
        <v>1</v>
      </c>
      <c r="AU18" s="173" t="s">
        <v>517</v>
      </c>
      <c r="AV18" s="173">
        <v>7</v>
      </c>
    </row>
    <row r="19" spans="1:48" s="173" customFormat="1" ht="36" customHeight="1" x14ac:dyDescent="0.9">
      <c r="A19" s="173">
        <v>1</v>
      </c>
      <c r="B19" s="91">
        <f>SUBTOTAL(103,$A$16:A19)</f>
        <v>4</v>
      </c>
      <c r="C19" s="90" t="s">
        <v>492</v>
      </c>
      <c r="D19" s="185">
        <v>1984</v>
      </c>
      <c r="E19" s="185"/>
      <c r="F19" s="191" t="s">
        <v>273</v>
      </c>
      <c r="G19" s="185">
        <v>12</v>
      </c>
      <c r="H19" s="185">
        <v>1</v>
      </c>
      <c r="I19" s="189">
        <v>6207</v>
      </c>
      <c r="J19" s="189">
        <v>5105</v>
      </c>
      <c r="K19" s="189">
        <v>4811</v>
      </c>
      <c r="L19" s="187">
        <v>242</v>
      </c>
      <c r="M19" s="185" t="s">
        <v>271</v>
      </c>
      <c r="N19" s="185" t="s">
        <v>275</v>
      </c>
      <c r="O19" s="188" t="s">
        <v>1100</v>
      </c>
      <c r="P19" s="189">
        <v>2530096.7899999996</v>
      </c>
      <c r="Q19" s="189">
        <v>0</v>
      </c>
      <c r="R19" s="189">
        <v>0</v>
      </c>
      <c r="S19" s="189">
        <f t="shared" si="4"/>
        <v>2530096.7899999996</v>
      </c>
      <c r="T19" s="189">
        <f t="shared" si="0"/>
        <v>407.61991139036564</v>
      </c>
      <c r="U19" s="189">
        <f>Y19</f>
        <v>504.76558724021265</v>
      </c>
      <c r="V19" s="170">
        <f t="shared" si="5"/>
        <v>97.145675849847009</v>
      </c>
      <c r="W19" s="170"/>
      <c r="X19" s="170"/>
      <c r="Y19" s="173">
        <f t="shared" si="6"/>
        <v>504.76558724021265</v>
      </c>
      <c r="AA19" s="173">
        <f t="shared" si="1"/>
        <v>600</v>
      </c>
      <c r="AC19" s="173" t="s">
        <v>493</v>
      </c>
      <c r="AD19" s="173">
        <v>632.16999999999996</v>
      </c>
      <c r="AH19" s="173" t="e">
        <f t="shared" si="2"/>
        <v>#N/A</v>
      </c>
      <c r="AJ19" s="173" t="s">
        <v>1402</v>
      </c>
      <c r="AK19" s="173">
        <v>591.9</v>
      </c>
      <c r="AS19" s="173" t="e">
        <f t="shared" si="3"/>
        <v>#N/A</v>
      </c>
      <c r="AU19" s="173" t="s">
        <v>518</v>
      </c>
      <c r="AV19" s="173">
        <v>2</v>
      </c>
    </row>
    <row r="20" spans="1:48" s="173" customFormat="1" ht="36" customHeight="1" x14ac:dyDescent="0.9">
      <c r="A20" s="173">
        <v>1</v>
      </c>
      <c r="B20" s="91">
        <f>SUBTOTAL(103,$A$16:A20)</f>
        <v>5</v>
      </c>
      <c r="C20" s="90" t="s">
        <v>493</v>
      </c>
      <c r="D20" s="185">
        <v>1978</v>
      </c>
      <c r="E20" s="185"/>
      <c r="F20" s="191" t="s">
        <v>319</v>
      </c>
      <c r="G20" s="185">
        <v>9</v>
      </c>
      <c r="H20" s="185">
        <v>2</v>
      </c>
      <c r="I20" s="189">
        <v>4414</v>
      </c>
      <c r="J20" s="189">
        <v>3930.4</v>
      </c>
      <c r="K20" s="189">
        <v>3880.5</v>
      </c>
      <c r="L20" s="187">
        <v>188</v>
      </c>
      <c r="M20" s="185" t="s">
        <v>271</v>
      </c>
      <c r="N20" s="185" t="s">
        <v>275</v>
      </c>
      <c r="O20" s="188" t="s">
        <v>1100</v>
      </c>
      <c r="P20" s="189">
        <v>2571347.14</v>
      </c>
      <c r="Q20" s="189">
        <v>0</v>
      </c>
      <c r="R20" s="189">
        <v>0</v>
      </c>
      <c r="S20" s="189">
        <f t="shared" si="4"/>
        <v>2571347.14</v>
      </c>
      <c r="T20" s="189">
        <f t="shared" si="0"/>
        <v>582.54352967829641</v>
      </c>
      <c r="U20" s="189">
        <f>Y20</f>
        <v>747.86255233348436</v>
      </c>
      <c r="V20" s="170">
        <f t="shared" si="5"/>
        <v>165.31902265518795</v>
      </c>
      <c r="W20" s="170"/>
      <c r="X20" s="170"/>
      <c r="Y20" s="173">
        <f t="shared" si="6"/>
        <v>747.86255233348436</v>
      </c>
      <c r="AA20" s="173">
        <f t="shared" si="1"/>
        <v>632.16999999999996</v>
      </c>
      <c r="AC20" s="173" t="s">
        <v>495</v>
      </c>
      <c r="AD20" s="173">
        <v>557</v>
      </c>
      <c r="AH20" s="173" t="e">
        <f t="shared" si="2"/>
        <v>#N/A</v>
      </c>
      <c r="AJ20" s="173" t="s">
        <v>1122</v>
      </c>
      <c r="AK20" s="173">
        <v>5788.43</v>
      </c>
      <c r="AS20" s="173" t="e">
        <f t="shared" si="3"/>
        <v>#N/A</v>
      </c>
      <c r="AU20" s="173" t="s">
        <v>519</v>
      </c>
      <c r="AV20" s="173">
        <v>1</v>
      </c>
    </row>
    <row r="21" spans="1:48" s="173" customFormat="1" ht="36" customHeight="1" x14ac:dyDescent="0.9">
      <c r="A21" s="173">
        <v>1</v>
      </c>
      <c r="B21" s="91">
        <f>SUBTOTAL(103,$A$16:A21)</f>
        <v>6</v>
      </c>
      <c r="C21" s="90" t="s">
        <v>494</v>
      </c>
      <c r="D21" s="185">
        <v>1957</v>
      </c>
      <c r="E21" s="185"/>
      <c r="F21" s="191" t="s">
        <v>273</v>
      </c>
      <c r="G21" s="185">
        <v>2</v>
      </c>
      <c r="H21" s="185">
        <v>1</v>
      </c>
      <c r="I21" s="189">
        <v>731.7</v>
      </c>
      <c r="J21" s="189">
        <v>435.3</v>
      </c>
      <c r="K21" s="189">
        <v>386</v>
      </c>
      <c r="L21" s="187">
        <v>21</v>
      </c>
      <c r="M21" s="185" t="s">
        <v>271</v>
      </c>
      <c r="N21" s="185" t="s">
        <v>275</v>
      </c>
      <c r="O21" s="188" t="s">
        <v>1349</v>
      </c>
      <c r="P21" s="189">
        <v>1642072.83</v>
      </c>
      <c r="Q21" s="189">
        <v>0</v>
      </c>
      <c r="R21" s="189">
        <v>0</v>
      </c>
      <c r="S21" s="189">
        <f t="shared" si="4"/>
        <v>1642072.83</v>
      </c>
      <c r="T21" s="189">
        <f t="shared" si="0"/>
        <v>2244.1886428864286</v>
      </c>
      <c r="U21" s="189">
        <f>AG21</f>
        <v>5864.1126855042494</v>
      </c>
      <c r="V21" s="170">
        <f t="shared" si="5"/>
        <v>3619.9240426178208</v>
      </c>
      <c r="W21" s="170"/>
      <c r="X21" s="170"/>
      <c r="Y21" s="173" t="e">
        <f t="shared" si="6"/>
        <v>#N/A</v>
      </c>
      <c r="AA21" s="173" t="e">
        <f t="shared" si="1"/>
        <v>#N/A</v>
      </c>
      <c r="AC21" s="173" t="s">
        <v>497</v>
      </c>
      <c r="AD21" s="173">
        <v>604</v>
      </c>
      <c r="AG21" s="173">
        <f>AH21*6191.24/J21</f>
        <v>5864.1126855042494</v>
      </c>
      <c r="AH21" s="173">
        <f t="shared" si="2"/>
        <v>412.3</v>
      </c>
      <c r="AJ21" s="173" t="s">
        <v>1123</v>
      </c>
      <c r="AK21" s="173">
        <v>3852.16</v>
      </c>
      <c r="AS21" s="173" t="e">
        <f t="shared" si="3"/>
        <v>#N/A</v>
      </c>
      <c r="AU21" s="173" t="s">
        <v>520</v>
      </c>
      <c r="AV21" s="173">
        <v>2</v>
      </c>
    </row>
    <row r="22" spans="1:48" s="173" customFormat="1" ht="36" customHeight="1" x14ac:dyDescent="0.9">
      <c r="A22" s="173">
        <v>1</v>
      </c>
      <c r="B22" s="91">
        <f>SUBTOTAL(103,$A$16:A22)</f>
        <v>7</v>
      </c>
      <c r="C22" s="90" t="s">
        <v>495</v>
      </c>
      <c r="D22" s="185">
        <v>1986</v>
      </c>
      <c r="E22" s="185"/>
      <c r="F22" s="191" t="s">
        <v>319</v>
      </c>
      <c r="G22" s="185">
        <v>9</v>
      </c>
      <c r="H22" s="185">
        <v>2</v>
      </c>
      <c r="I22" s="189">
        <v>4945.3999999999996</v>
      </c>
      <c r="J22" s="189">
        <v>3861.7</v>
      </c>
      <c r="K22" s="189">
        <v>3562.6</v>
      </c>
      <c r="L22" s="187">
        <v>203</v>
      </c>
      <c r="M22" s="185" t="s">
        <v>271</v>
      </c>
      <c r="N22" s="185" t="s">
        <v>275</v>
      </c>
      <c r="O22" s="188" t="s">
        <v>1116</v>
      </c>
      <c r="P22" s="189">
        <v>2362258.88</v>
      </c>
      <c r="Q22" s="189">
        <v>0</v>
      </c>
      <c r="R22" s="189">
        <v>0</v>
      </c>
      <c r="S22" s="189">
        <f t="shared" si="4"/>
        <v>2362258.88</v>
      </c>
      <c r="T22" s="189">
        <f t="shared" si="0"/>
        <v>477.66790957253204</v>
      </c>
      <c r="U22" s="189">
        <f t="shared" ref="U22:U27" si="7">Y22</f>
        <v>588.13090953209053</v>
      </c>
      <c r="V22" s="170">
        <f t="shared" si="5"/>
        <v>110.46299995955849</v>
      </c>
      <c r="W22" s="170"/>
      <c r="X22" s="170"/>
      <c r="Y22" s="173">
        <f t="shared" si="6"/>
        <v>588.13090953209053</v>
      </c>
      <c r="AA22" s="173">
        <f t="shared" si="1"/>
        <v>557</v>
      </c>
      <c r="AC22" s="173" t="s">
        <v>498</v>
      </c>
      <c r="AD22" s="173">
        <v>591</v>
      </c>
      <c r="AH22" s="173" t="e">
        <f t="shared" si="2"/>
        <v>#N/A</v>
      </c>
      <c r="AJ22" s="173" t="s">
        <v>1127</v>
      </c>
      <c r="AK22" s="173">
        <v>1131.4000000000001</v>
      </c>
      <c r="AS22" s="173" t="e">
        <f t="shared" si="3"/>
        <v>#N/A</v>
      </c>
      <c r="AU22" s="173" t="s">
        <v>524</v>
      </c>
      <c r="AV22" s="173">
        <v>1</v>
      </c>
    </row>
    <row r="23" spans="1:48" s="173" customFormat="1" ht="36" customHeight="1" x14ac:dyDescent="0.9">
      <c r="A23" s="173">
        <v>1</v>
      </c>
      <c r="B23" s="91">
        <f>SUBTOTAL(103,$A$16:A23)</f>
        <v>8</v>
      </c>
      <c r="C23" s="90" t="s">
        <v>497</v>
      </c>
      <c r="D23" s="185">
        <v>1955</v>
      </c>
      <c r="E23" s="185"/>
      <c r="F23" s="191" t="s">
        <v>273</v>
      </c>
      <c r="G23" s="185">
        <v>3</v>
      </c>
      <c r="H23" s="185">
        <v>2</v>
      </c>
      <c r="I23" s="189">
        <v>1208.2</v>
      </c>
      <c r="J23" s="189">
        <v>1108.2</v>
      </c>
      <c r="K23" s="189">
        <v>1058.5999999999999</v>
      </c>
      <c r="L23" s="187">
        <v>52</v>
      </c>
      <c r="M23" s="185" t="s">
        <v>271</v>
      </c>
      <c r="N23" s="185" t="s">
        <v>275</v>
      </c>
      <c r="O23" s="188" t="s">
        <v>1425</v>
      </c>
      <c r="P23" s="189">
        <v>2862415.7800000003</v>
      </c>
      <c r="Q23" s="189">
        <v>0</v>
      </c>
      <c r="R23" s="189">
        <v>0</v>
      </c>
      <c r="S23" s="189">
        <f t="shared" si="4"/>
        <v>2862415.7800000003</v>
      </c>
      <c r="T23" s="189">
        <f t="shared" si="0"/>
        <v>2369.1572421784472</v>
      </c>
      <c r="U23" s="189">
        <f t="shared" si="7"/>
        <v>2610.4678033438172</v>
      </c>
      <c r="V23" s="170">
        <f t="shared" si="5"/>
        <v>241.31056116537002</v>
      </c>
      <c r="W23" s="170"/>
      <c r="X23" s="170"/>
      <c r="Y23" s="173">
        <f t="shared" si="6"/>
        <v>2610.4678033438172</v>
      </c>
      <c r="AA23" s="173">
        <f t="shared" si="1"/>
        <v>604</v>
      </c>
      <c r="AC23" s="173" t="s">
        <v>499</v>
      </c>
      <c r="AD23" s="173">
        <v>612</v>
      </c>
      <c r="AH23" s="173" t="e">
        <f t="shared" si="2"/>
        <v>#N/A</v>
      </c>
      <c r="AJ23" s="173" t="s">
        <v>1133</v>
      </c>
      <c r="AK23" s="173">
        <v>1343.2</v>
      </c>
      <c r="AS23" s="173" t="e">
        <f t="shared" si="3"/>
        <v>#N/A</v>
      </c>
      <c r="AU23" s="173" t="s">
        <v>1121</v>
      </c>
      <c r="AV23" s="173">
        <v>3</v>
      </c>
    </row>
    <row r="24" spans="1:48" s="173" customFormat="1" ht="36" customHeight="1" x14ac:dyDescent="0.9">
      <c r="A24" s="173">
        <v>1</v>
      </c>
      <c r="B24" s="91">
        <f>SUBTOTAL(103,$A$16:A24)</f>
        <v>9</v>
      </c>
      <c r="C24" s="90" t="s">
        <v>498</v>
      </c>
      <c r="D24" s="185">
        <v>1990</v>
      </c>
      <c r="E24" s="185"/>
      <c r="F24" s="191" t="s">
        <v>273</v>
      </c>
      <c r="G24" s="185">
        <v>3</v>
      </c>
      <c r="H24" s="185">
        <v>1</v>
      </c>
      <c r="I24" s="189">
        <v>620.29999999999995</v>
      </c>
      <c r="J24" s="189">
        <v>538.5</v>
      </c>
      <c r="K24" s="189">
        <v>538.5</v>
      </c>
      <c r="L24" s="187">
        <v>23</v>
      </c>
      <c r="M24" s="185" t="s">
        <v>271</v>
      </c>
      <c r="N24" s="185" t="s">
        <v>275</v>
      </c>
      <c r="O24" s="188" t="s">
        <v>357</v>
      </c>
      <c r="P24" s="189">
        <v>2020290.18</v>
      </c>
      <c r="Q24" s="189">
        <v>0</v>
      </c>
      <c r="R24" s="189">
        <v>0</v>
      </c>
      <c r="S24" s="189">
        <f t="shared" si="4"/>
        <v>2020290.18</v>
      </c>
      <c r="T24" s="189">
        <f t="shared" si="0"/>
        <v>3256.9566016443659</v>
      </c>
      <c r="U24" s="189">
        <f t="shared" si="7"/>
        <v>4975.1471868450753</v>
      </c>
      <c r="V24" s="170">
        <f t="shared" si="5"/>
        <v>1718.1905852007094</v>
      </c>
      <c r="W24" s="170"/>
      <c r="X24" s="170"/>
      <c r="Y24" s="173">
        <f t="shared" si="6"/>
        <v>4975.1471868450753</v>
      </c>
      <c r="AA24" s="173">
        <f t="shared" si="1"/>
        <v>591</v>
      </c>
      <c r="AC24" s="173" t="s">
        <v>500</v>
      </c>
      <c r="AD24" s="173">
        <v>1248.2</v>
      </c>
      <c r="AH24" s="173" t="e">
        <f t="shared" si="2"/>
        <v>#N/A</v>
      </c>
      <c r="AJ24" s="173" t="s">
        <v>1135</v>
      </c>
      <c r="AK24" s="173">
        <v>494.5</v>
      </c>
      <c r="AS24" s="173" t="e">
        <f t="shared" si="3"/>
        <v>#N/A</v>
      </c>
      <c r="AU24" s="173" t="s">
        <v>1140</v>
      </c>
      <c r="AV24" s="173">
        <v>2</v>
      </c>
    </row>
    <row r="25" spans="1:48" s="173" customFormat="1" ht="36" customHeight="1" x14ac:dyDescent="0.9">
      <c r="A25" s="173">
        <v>1</v>
      </c>
      <c r="B25" s="91">
        <f>SUBTOTAL(103,$A$16:A25)</f>
        <v>10</v>
      </c>
      <c r="C25" s="90" t="s">
        <v>499</v>
      </c>
      <c r="D25" s="185">
        <v>1989</v>
      </c>
      <c r="E25" s="185"/>
      <c r="F25" s="191" t="s">
        <v>273</v>
      </c>
      <c r="G25" s="185">
        <v>5</v>
      </c>
      <c r="H25" s="185">
        <v>3</v>
      </c>
      <c r="I25" s="189">
        <v>2454.8000000000002</v>
      </c>
      <c r="J25" s="189">
        <v>1749.7</v>
      </c>
      <c r="K25" s="189">
        <v>1749.7</v>
      </c>
      <c r="L25" s="187">
        <v>61</v>
      </c>
      <c r="M25" s="185" t="s">
        <v>271</v>
      </c>
      <c r="N25" s="185" t="s">
        <v>275</v>
      </c>
      <c r="O25" s="188" t="s">
        <v>1410</v>
      </c>
      <c r="P25" s="189">
        <v>2575132.3800000004</v>
      </c>
      <c r="Q25" s="189">
        <v>0</v>
      </c>
      <c r="R25" s="189">
        <v>0</v>
      </c>
      <c r="S25" s="189">
        <f t="shared" si="4"/>
        <v>2575132.3800000004</v>
      </c>
      <c r="T25" s="189">
        <f t="shared" si="0"/>
        <v>1049.0192194883493</v>
      </c>
      <c r="U25" s="189">
        <f t="shared" si="7"/>
        <v>1301.8337950138502</v>
      </c>
      <c r="V25" s="170">
        <f t="shared" si="5"/>
        <v>252.81457552550091</v>
      </c>
      <c r="W25" s="170"/>
      <c r="X25" s="170"/>
      <c r="Y25" s="173">
        <f t="shared" si="6"/>
        <v>1301.8337950138502</v>
      </c>
      <c r="AA25" s="173">
        <f t="shared" si="1"/>
        <v>612</v>
      </c>
      <c r="AC25" s="173" t="s">
        <v>501</v>
      </c>
      <c r="AD25" s="173">
        <v>947.4</v>
      </c>
      <c r="AH25" s="173" t="e">
        <f t="shared" si="2"/>
        <v>#N/A</v>
      </c>
      <c r="AJ25" s="173" t="s">
        <v>1151</v>
      </c>
      <c r="AK25" s="173">
        <v>820</v>
      </c>
      <c r="AS25" s="173" t="e">
        <f t="shared" si="3"/>
        <v>#N/A</v>
      </c>
      <c r="AU25" s="173" t="s">
        <v>1141</v>
      </c>
      <c r="AV25" s="173">
        <v>2</v>
      </c>
    </row>
    <row r="26" spans="1:48" s="173" customFormat="1" ht="36" customHeight="1" x14ac:dyDescent="0.9">
      <c r="A26" s="173">
        <v>1</v>
      </c>
      <c r="B26" s="91">
        <f>SUBTOTAL(103,$A$16:A26)</f>
        <v>11</v>
      </c>
      <c r="C26" s="90" t="s">
        <v>500</v>
      </c>
      <c r="D26" s="185">
        <v>1995</v>
      </c>
      <c r="E26" s="185"/>
      <c r="F26" s="191" t="s">
        <v>273</v>
      </c>
      <c r="G26" s="185">
        <v>9</v>
      </c>
      <c r="H26" s="185">
        <v>1</v>
      </c>
      <c r="I26" s="189">
        <v>5292.9</v>
      </c>
      <c r="J26" s="189">
        <v>4340.07</v>
      </c>
      <c r="K26" s="189">
        <v>3967.77</v>
      </c>
      <c r="L26" s="187">
        <v>182</v>
      </c>
      <c r="M26" s="185" t="s">
        <v>271</v>
      </c>
      <c r="N26" s="185" t="s">
        <v>275</v>
      </c>
      <c r="O26" s="188" t="s">
        <v>1423</v>
      </c>
      <c r="P26" s="189">
        <v>3274095.59</v>
      </c>
      <c r="Q26" s="189">
        <v>0</v>
      </c>
      <c r="R26" s="189">
        <v>0</v>
      </c>
      <c r="S26" s="189">
        <f t="shared" si="4"/>
        <v>3274095.59</v>
      </c>
      <c r="T26" s="189">
        <f t="shared" si="0"/>
        <v>618.58255209809374</v>
      </c>
      <c r="U26" s="189">
        <f t="shared" si="7"/>
        <v>1231.4328175480362</v>
      </c>
      <c r="V26" s="170">
        <f t="shared" si="5"/>
        <v>612.85026544994241</v>
      </c>
      <c r="W26" s="170"/>
      <c r="X26" s="170"/>
      <c r="Y26" s="173">
        <f t="shared" si="6"/>
        <v>1231.4328175480362</v>
      </c>
      <c r="AA26" s="173">
        <f t="shared" si="1"/>
        <v>1248.2</v>
      </c>
      <c r="AC26" s="173" t="s">
        <v>503</v>
      </c>
      <c r="AD26" s="173">
        <v>630</v>
      </c>
      <c r="AH26" s="173" t="e">
        <f t="shared" si="2"/>
        <v>#N/A</v>
      </c>
      <c r="AJ26" s="173" t="s">
        <v>1152</v>
      </c>
      <c r="AK26" s="173">
        <v>511</v>
      </c>
      <c r="AS26" s="173" t="e">
        <f t="shared" si="3"/>
        <v>#N/A</v>
      </c>
      <c r="AU26" s="173" t="s">
        <v>1658</v>
      </c>
      <c r="AV26" s="173">
        <v>1</v>
      </c>
    </row>
    <row r="27" spans="1:48" s="173" customFormat="1" ht="36" customHeight="1" x14ac:dyDescent="0.9">
      <c r="A27" s="173">
        <v>1</v>
      </c>
      <c r="B27" s="91">
        <f>SUBTOTAL(103,$A$16:A27)</f>
        <v>12</v>
      </c>
      <c r="C27" s="90" t="s">
        <v>501</v>
      </c>
      <c r="D27" s="185">
        <v>1962</v>
      </c>
      <c r="E27" s="185"/>
      <c r="F27" s="191" t="s">
        <v>273</v>
      </c>
      <c r="G27" s="185">
        <v>3</v>
      </c>
      <c r="H27" s="185">
        <v>3</v>
      </c>
      <c r="I27" s="189">
        <v>2721.6</v>
      </c>
      <c r="J27" s="189">
        <v>1752.6</v>
      </c>
      <c r="K27" s="189">
        <v>1482.9</v>
      </c>
      <c r="L27" s="187">
        <v>80</v>
      </c>
      <c r="M27" s="185" t="s">
        <v>271</v>
      </c>
      <c r="N27" s="185" t="s">
        <v>275</v>
      </c>
      <c r="O27" s="188" t="s">
        <v>1349</v>
      </c>
      <c r="P27" s="189">
        <v>3988187.17</v>
      </c>
      <c r="Q27" s="189">
        <v>0</v>
      </c>
      <c r="R27" s="189">
        <v>0</v>
      </c>
      <c r="S27" s="189">
        <f t="shared" si="4"/>
        <v>3988187.17</v>
      </c>
      <c r="T27" s="189">
        <f t="shared" si="0"/>
        <v>1465.3832929159319</v>
      </c>
      <c r="U27" s="189">
        <f t="shared" si="7"/>
        <v>1817.729761904762</v>
      </c>
      <c r="V27" s="170">
        <f t="shared" si="5"/>
        <v>352.34646898883011</v>
      </c>
      <c r="W27" s="170"/>
      <c r="X27" s="170"/>
      <c r="Y27" s="173">
        <f t="shared" si="6"/>
        <v>1817.729761904762</v>
      </c>
      <c r="AA27" s="173">
        <f t="shared" si="1"/>
        <v>947.4</v>
      </c>
      <c r="AC27" s="173" t="s">
        <v>504</v>
      </c>
      <c r="AD27" s="173">
        <v>1199</v>
      </c>
      <c r="AH27" s="173" t="e">
        <f t="shared" si="2"/>
        <v>#N/A</v>
      </c>
      <c r="AJ27" s="173" t="s">
        <v>1153</v>
      </c>
      <c r="AK27" s="173">
        <v>515.73</v>
      </c>
      <c r="AS27" s="173" t="e">
        <f t="shared" si="3"/>
        <v>#N/A</v>
      </c>
      <c r="AU27" s="173" t="s">
        <v>1173</v>
      </c>
      <c r="AV27" s="173">
        <v>4</v>
      </c>
    </row>
    <row r="28" spans="1:48" s="173" customFormat="1" ht="36" customHeight="1" x14ac:dyDescent="0.9">
      <c r="A28" s="173">
        <v>1</v>
      </c>
      <c r="B28" s="91">
        <f>SUBTOTAL(103,$A$16:A28)</f>
        <v>13</v>
      </c>
      <c r="C28" s="90" t="s">
        <v>502</v>
      </c>
      <c r="D28" s="185">
        <v>1957</v>
      </c>
      <c r="E28" s="185"/>
      <c r="F28" s="191" t="s">
        <v>273</v>
      </c>
      <c r="G28" s="185">
        <v>2</v>
      </c>
      <c r="H28" s="185">
        <v>1</v>
      </c>
      <c r="I28" s="189">
        <v>718.3</v>
      </c>
      <c r="J28" s="189">
        <v>408.3</v>
      </c>
      <c r="K28" s="189">
        <v>408.3</v>
      </c>
      <c r="L28" s="187">
        <v>22</v>
      </c>
      <c r="M28" s="185" t="s">
        <v>271</v>
      </c>
      <c r="N28" s="185" t="s">
        <v>275</v>
      </c>
      <c r="O28" s="188" t="s">
        <v>1349</v>
      </c>
      <c r="P28" s="189">
        <v>1987488.72</v>
      </c>
      <c r="Q28" s="189">
        <v>0</v>
      </c>
      <c r="R28" s="189">
        <v>0</v>
      </c>
      <c r="S28" s="189">
        <f t="shared" si="4"/>
        <v>1987488.72</v>
      </c>
      <c r="T28" s="189">
        <f t="shared" si="0"/>
        <v>2766.9340387024922</v>
      </c>
      <c r="U28" s="189">
        <f>AG28</f>
        <v>5622.6103159441582</v>
      </c>
      <c r="V28" s="170">
        <f t="shared" si="5"/>
        <v>2855.676277241666</v>
      </c>
      <c r="W28" s="170"/>
      <c r="X28" s="170"/>
      <c r="Y28" s="173" t="e">
        <f t="shared" si="6"/>
        <v>#N/A</v>
      </c>
      <c r="AA28" s="173" t="e">
        <f t="shared" si="1"/>
        <v>#N/A</v>
      </c>
      <c r="AC28" s="173" t="s">
        <v>506</v>
      </c>
      <c r="AD28" s="173">
        <v>237</v>
      </c>
      <c r="AG28" s="173">
        <f>AH28*6191.24/J28</f>
        <v>5622.6103159441582</v>
      </c>
      <c r="AH28" s="173">
        <f t="shared" si="2"/>
        <v>370.8</v>
      </c>
      <c r="AJ28" s="173" t="s">
        <v>1154</v>
      </c>
      <c r="AK28" s="173">
        <v>1522.8</v>
      </c>
      <c r="AS28" s="173" t="e">
        <f t="shared" si="3"/>
        <v>#N/A</v>
      </c>
      <c r="AU28" s="173" t="s">
        <v>401</v>
      </c>
      <c r="AV28" s="173">
        <v>3</v>
      </c>
    </row>
    <row r="29" spans="1:48" s="173" customFormat="1" ht="36" customHeight="1" x14ac:dyDescent="0.9">
      <c r="A29" s="173">
        <v>1</v>
      </c>
      <c r="B29" s="91">
        <f>SUBTOTAL(103,$A$16:A29)</f>
        <v>14</v>
      </c>
      <c r="C29" s="90" t="s">
        <v>503</v>
      </c>
      <c r="D29" s="185">
        <v>1994</v>
      </c>
      <c r="E29" s="185"/>
      <c r="F29" s="191" t="s">
        <v>273</v>
      </c>
      <c r="G29" s="185">
        <v>6</v>
      </c>
      <c r="H29" s="185">
        <v>4</v>
      </c>
      <c r="I29" s="189">
        <v>3744.6</v>
      </c>
      <c r="J29" s="189">
        <v>2905.1</v>
      </c>
      <c r="K29" s="189">
        <v>2782.1</v>
      </c>
      <c r="L29" s="187">
        <v>138</v>
      </c>
      <c r="M29" s="185" t="s">
        <v>271</v>
      </c>
      <c r="N29" s="185" t="s">
        <v>275</v>
      </c>
      <c r="O29" s="188" t="s">
        <v>1116</v>
      </c>
      <c r="P29" s="189">
        <v>2688426.41</v>
      </c>
      <c r="Q29" s="189">
        <v>0</v>
      </c>
      <c r="R29" s="189">
        <v>0</v>
      </c>
      <c r="S29" s="189">
        <f t="shared" si="4"/>
        <v>2688426.41</v>
      </c>
      <c r="T29" s="189">
        <f t="shared" si="0"/>
        <v>717.94755381082098</v>
      </c>
      <c r="U29" s="189">
        <f>Y29</f>
        <v>878.5274795705817</v>
      </c>
      <c r="V29" s="170">
        <f t="shared" si="5"/>
        <v>160.57992575976073</v>
      </c>
      <c r="W29" s="170"/>
      <c r="X29" s="170"/>
      <c r="Y29" s="173">
        <f t="shared" si="6"/>
        <v>878.5274795705817</v>
      </c>
      <c r="AA29" s="173">
        <f t="shared" si="1"/>
        <v>630</v>
      </c>
      <c r="AC29" s="173" t="s">
        <v>507</v>
      </c>
      <c r="AD29" s="173">
        <v>1020</v>
      </c>
      <c r="AH29" s="173" t="e">
        <f t="shared" si="2"/>
        <v>#N/A</v>
      </c>
      <c r="AJ29" s="173" t="s">
        <v>1156</v>
      </c>
      <c r="AK29" s="173">
        <v>649.6</v>
      </c>
      <c r="AS29" s="173" t="e">
        <f t="shared" si="3"/>
        <v>#N/A</v>
      </c>
      <c r="AU29" s="173" t="s">
        <v>403</v>
      </c>
      <c r="AV29" s="173">
        <v>3</v>
      </c>
    </row>
    <row r="30" spans="1:48" s="173" customFormat="1" ht="36" customHeight="1" x14ac:dyDescent="0.9">
      <c r="A30" s="173">
        <v>1</v>
      </c>
      <c r="B30" s="91">
        <f>SUBTOTAL(103,$A$16:A30)</f>
        <v>15</v>
      </c>
      <c r="C30" s="90" t="s">
        <v>504</v>
      </c>
      <c r="D30" s="185">
        <v>1993</v>
      </c>
      <c r="E30" s="185"/>
      <c r="F30" s="191" t="s">
        <v>273</v>
      </c>
      <c r="G30" s="185">
        <v>9</v>
      </c>
      <c r="H30" s="185">
        <v>3</v>
      </c>
      <c r="I30" s="189">
        <v>6478</v>
      </c>
      <c r="J30" s="189">
        <v>6359.39</v>
      </c>
      <c r="K30" s="189">
        <v>5823.79</v>
      </c>
      <c r="L30" s="187">
        <v>108</v>
      </c>
      <c r="M30" s="185" t="s">
        <v>271</v>
      </c>
      <c r="N30" s="185" t="s">
        <v>275</v>
      </c>
      <c r="O30" s="188" t="s">
        <v>356</v>
      </c>
      <c r="P30" s="189">
        <v>3621937.8699999996</v>
      </c>
      <c r="Q30" s="189">
        <v>0</v>
      </c>
      <c r="R30" s="189">
        <v>0</v>
      </c>
      <c r="S30" s="189">
        <f t="shared" si="4"/>
        <v>3621937.8699999996</v>
      </c>
      <c r="T30" s="189">
        <f t="shared" si="0"/>
        <v>559.11359524544605</v>
      </c>
      <c r="U30" s="189">
        <f>Y30</f>
        <v>966.49246681074408</v>
      </c>
      <c r="V30" s="170">
        <f t="shared" si="5"/>
        <v>407.37887156529803</v>
      </c>
      <c r="W30" s="170"/>
      <c r="X30" s="170"/>
      <c r="Y30" s="173">
        <f t="shared" si="6"/>
        <v>966.49246681074408</v>
      </c>
      <c r="AA30" s="173">
        <f t="shared" si="1"/>
        <v>1199</v>
      </c>
      <c r="AC30" s="173" t="s">
        <v>508</v>
      </c>
      <c r="AD30" s="173">
        <v>350</v>
      </c>
      <c r="AH30" s="173" t="e">
        <f t="shared" si="2"/>
        <v>#N/A</v>
      </c>
      <c r="AJ30" s="173" t="s">
        <v>1161</v>
      </c>
      <c r="AK30" s="173">
        <v>590</v>
      </c>
      <c r="AS30" s="173" t="e">
        <f t="shared" si="3"/>
        <v>#N/A</v>
      </c>
      <c r="AU30" s="173" t="s">
        <v>1181</v>
      </c>
      <c r="AV30" s="173">
        <v>2</v>
      </c>
    </row>
    <row r="31" spans="1:48" s="173" customFormat="1" ht="36" customHeight="1" x14ac:dyDescent="0.9">
      <c r="A31" s="173">
        <v>1</v>
      </c>
      <c r="B31" s="91">
        <f>SUBTOTAL(103,$A$16:A31)</f>
        <v>16</v>
      </c>
      <c r="C31" s="90" t="s">
        <v>505</v>
      </c>
      <c r="D31" s="185">
        <v>1992</v>
      </c>
      <c r="E31" s="185"/>
      <c r="F31" s="191" t="s">
        <v>319</v>
      </c>
      <c r="G31" s="185">
        <v>9</v>
      </c>
      <c r="H31" s="185">
        <v>8</v>
      </c>
      <c r="I31" s="189">
        <v>14555.58</v>
      </c>
      <c r="J31" s="189">
        <v>14455.58</v>
      </c>
      <c r="K31" s="189">
        <v>13861.18</v>
      </c>
      <c r="L31" s="187">
        <v>704</v>
      </c>
      <c r="M31" s="185" t="s">
        <v>271</v>
      </c>
      <c r="N31" s="185" t="s">
        <v>275</v>
      </c>
      <c r="O31" s="188" t="s">
        <v>356</v>
      </c>
      <c r="P31" s="189">
        <v>17545640</v>
      </c>
      <c r="Q31" s="189">
        <v>0</v>
      </c>
      <c r="R31" s="189">
        <v>0</v>
      </c>
      <c r="S31" s="189">
        <f t="shared" si="4"/>
        <v>17545640</v>
      </c>
      <c r="T31" s="189">
        <f t="shared" si="0"/>
        <v>1205.4236244794092</v>
      </c>
      <c r="U31" s="189">
        <f>AR31</f>
        <v>1213.2325884643553</v>
      </c>
      <c r="V31" s="170">
        <f t="shared" si="5"/>
        <v>7.8089639849461037</v>
      </c>
      <c r="W31" s="170"/>
      <c r="X31" s="170"/>
      <c r="Y31" s="173" t="e">
        <f t="shared" si="6"/>
        <v>#N/A</v>
      </c>
      <c r="AA31" s="173" t="e">
        <f t="shared" si="1"/>
        <v>#N/A</v>
      </c>
      <c r="AC31" s="173" t="s">
        <v>509</v>
      </c>
      <c r="AD31" s="173">
        <v>900</v>
      </c>
      <c r="AH31" s="173" t="e">
        <f t="shared" si="2"/>
        <v>#N/A</v>
      </c>
      <c r="AJ31" s="173" t="s">
        <v>1162</v>
      </c>
      <c r="AK31" s="173">
        <v>450.1</v>
      </c>
      <c r="AR31" s="173">
        <f>AS31*2207413/I31</f>
        <v>1213.2325884643553</v>
      </c>
      <c r="AS31" s="173">
        <f t="shared" si="3"/>
        <v>8</v>
      </c>
      <c r="AU31" s="173" t="s">
        <v>1184</v>
      </c>
      <c r="AV31" s="173">
        <v>2</v>
      </c>
    </row>
    <row r="32" spans="1:48" s="173" customFormat="1" ht="36" customHeight="1" x14ac:dyDescent="0.9">
      <c r="A32" s="173">
        <v>1</v>
      </c>
      <c r="B32" s="91">
        <f>SUBTOTAL(103,$A$16:A32)</f>
        <v>17</v>
      </c>
      <c r="C32" s="90" t="s">
        <v>506</v>
      </c>
      <c r="D32" s="185">
        <v>1978</v>
      </c>
      <c r="E32" s="185"/>
      <c r="F32" s="191" t="s">
        <v>273</v>
      </c>
      <c r="G32" s="185">
        <v>5</v>
      </c>
      <c r="H32" s="185">
        <v>1</v>
      </c>
      <c r="I32" s="189">
        <v>985.3</v>
      </c>
      <c r="J32" s="189">
        <v>777.2</v>
      </c>
      <c r="K32" s="189">
        <v>724.1</v>
      </c>
      <c r="L32" s="187">
        <v>33</v>
      </c>
      <c r="M32" s="185" t="s">
        <v>271</v>
      </c>
      <c r="N32" s="185" t="s">
        <v>275</v>
      </c>
      <c r="O32" s="188" t="s">
        <v>356</v>
      </c>
      <c r="P32" s="189">
        <v>855995.43</v>
      </c>
      <c r="Q32" s="189">
        <v>0</v>
      </c>
      <c r="R32" s="189">
        <v>0</v>
      </c>
      <c r="S32" s="189">
        <f t="shared" si="4"/>
        <v>855995.43</v>
      </c>
      <c r="T32" s="189">
        <f t="shared" si="0"/>
        <v>868.76629452958502</v>
      </c>
      <c r="U32" s="189">
        <f t="shared" ref="U32:U38" si="8">Y32</f>
        <v>1256.0302445955549</v>
      </c>
      <c r="V32" s="170">
        <f t="shared" si="5"/>
        <v>387.26395006596988</v>
      </c>
      <c r="W32" s="170"/>
      <c r="X32" s="170"/>
      <c r="Y32" s="173">
        <f t="shared" si="6"/>
        <v>1256.0302445955549</v>
      </c>
      <c r="AA32" s="173">
        <f t="shared" si="1"/>
        <v>237</v>
      </c>
      <c r="AC32" s="173" t="s">
        <v>511</v>
      </c>
      <c r="AD32" s="173">
        <v>1058.4000000000001</v>
      </c>
      <c r="AH32" s="173" t="e">
        <f t="shared" si="2"/>
        <v>#N/A</v>
      </c>
      <c r="AJ32" s="173" t="s">
        <v>1633</v>
      </c>
      <c r="AK32" s="173">
        <v>975.92</v>
      </c>
      <c r="AS32" s="173" t="e">
        <f t="shared" si="3"/>
        <v>#N/A</v>
      </c>
      <c r="AU32" s="173" t="s">
        <v>1189</v>
      </c>
      <c r="AV32" s="173">
        <v>1</v>
      </c>
    </row>
    <row r="33" spans="1:48" s="173" customFormat="1" ht="36" customHeight="1" x14ac:dyDescent="0.9">
      <c r="A33" s="173">
        <v>1</v>
      </c>
      <c r="B33" s="91">
        <f>SUBTOTAL(103,$A$16:A33)</f>
        <v>18</v>
      </c>
      <c r="C33" s="90" t="s">
        <v>507</v>
      </c>
      <c r="D33" s="185">
        <v>1995</v>
      </c>
      <c r="E33" s="185"/>
      <c r="F33" s="191" t="s">
        <v>273</v>
      </c>
      <c r="G33" s="185">
        <v>9</v>
      </c>
      <c r="H33" s="185">
        <v>1</v>
      </c>
      <c r="I33" s="189">
        <v>6177</v>
      </c>
      <c r="J33" s="189">
        <v>4705.1000000000004</v>
      </c>
      <c r="K33" s="189">
        <v>4212.5</v>
      </c>
      <c r="L33" s="187">
        <v>299</v>
      </c>
      <c r="M33" s="185" t="s">
        <v>271</v>
      </c>
      <c r="N33" s="185" t="s">
        <v>275</v>
      </c>
      <c r="O33" s="188" t="s">
        <v>1100</v>
      </c>
      <c r="P33" s="189">
        <v>4696932.55</v>
      </c>
      <c r="Q33" s="189">
        <v>0</v>
      </c>
      <c r="R33" s="189">
        <v>0</v>
      </c>
      <c r="S33" s="189">
        <f t="shared" si="4"/>
        <v>4696932.55</v>
      </c>
      <c r="T33" s="189">
        <f t="shared" si="0"/>
        <v>760.39056985591708</v>
      </c>
      <c r="U33" s="189">
        <f t="shared" si="8"/>
        <v>862.26906265177274</v>
      </c>
      <c r="V33" s="170">
        <f t="shared" si="5"/>
        <v>101.87849279585566</v>
      </c>
      <c r="W33" s="170"/>
      <c r="X33" s="170"/>
      <c r="Y33" s="173">
        <f t="shared" si="6"/>
        <v>862.26906265177274</v>
      </c>
      <c r="AA33" s="173">
        <f t="shared" si="1"/>
        <v>1020</v>
      </c>
      <c r="AC33" s="173" t="s">
        <v>1674</v>
      </c>
      <c r="AD33" s="173">
        <v>574.01</v>
      </c>
      <c r="AH33" s="173" t="e">
        <f t="shared" si="2"/>
        <v>#N/A</v>
      </c>
      <c r="AJ33" s="173" t="s">
        <v>1635</v>
      </c>
      <c r="AK33" s="173">
        <v>641</v>
      </c>
      <c r="AR33" s="173">
        <f>AS33*2207413/I33</f>
        <v>357.36004532944793</v>
      </c>
      <c r="AS33" s="173">
        <f t="shared" si="3"/>
        <v>1</v>
      </c>
      <c r="AU33" s="173" t="s">
        <v>1190</v>
      </c>
      <c r="AV33" s="173">
        <v>1</v>
      </c>
    </row>
    <row r="34" spans="1:48" s="173" customFormat="1" ht="36" customHeight="1" x14ac:dyDescent="0.9">
      <c r="A34" s="173">
        <v>1</v>
      </c>
      <c r="B34" s="91">
        <f>SUBTOTAL(103,$A$16:A34)</f>
        <v>19</v>
      </c>
      <c r="C34" s="90" t="s">
        <v>508</v>
      </c>
      <c r="D34" s="185">
        <v>1988</v>
      </c>
      <c r="E34" s="185"/>
      <c r="F34" s="191" t="s">
        <v>273</v>
      </c>
      <c r="G34" s="185">
        <v>5</v>
      </c>
      <c r="H34" s="185">
        <v>2</v>
      </c>
      <c r="I34" s="189">
        <v>1411</v>
      </c>
      <c r="J34" s="189">
        <v>1242.3</v>
      </c>
      <c r="K34" s="189">
        <v>1081</v>
      </c>
      <c r="L34" s="187">
        <v>70</v>
      </c>
      <c r="M34" s="185" t="s">
        <v>271</v>
      </c>
      <c r="N34" s="185" t="s">
        <v>275</v>
      </c>
      <c r="O34" s="188" t="s">
        <v>1100</v>
      </c>
      <c r="P34" s="189">
        <v>1982389.7899999998</v>
      </c>
      <c r="Q34" s="189">
        <v>0</v>
      </c>
      <c r="R34" s="189">
        <v>0</v>
      </c>
      <c r="S34" s="189">
        <f t="shared" si="4"/>
        <v>1982389.7899999998</v>
      </c>
      <c r="T34" s="189">
        <f t="shared" si="0"/>
        <v>1404.9537845499644</v>
      </c>
      <c r="U34" s="189">
        <f>T34</f>
        <v>1404.9537845499644</v>
      </c>
      <c r="V34" s="170">
        <f t="shared" si="5"/>
        <v>0</v>
      </c>
      <c r="W34" s="170"/>
      <c r="X34" s="170"/>
      <c r="Y34" s="173">
        <f t="shared" si="6"/>
        <v>1295.2728561304041</v>
      </c>
      <c r="AA34" s="173">
        <f t="shared" si="1"/>
        <v>350</v>
      </c>
      <c r="AC34" s="173" t="s">
        <v>512</v>
      </c>
      <c r="AD34" s="173">
        <v>1136</v>
      </c>
      <c r="AH34" s="173" t="e">
        <f t="shared" si="2"/>
        <v>#N/A</v>
      </c>
      <c r="AJ34" s="173" t="s">
        <v>465</v>
      </c>
      <c r="AK34" s="173">
        <v>475</v>
      </c>
      <c r="AS34" s="173" t="e">
        <f t="shared" si="3"/>
        <v>#N/A</v>
      </c>
      <c r="AU34" s="173" t="s">
        <v>1191</v>
      </c>
      <c r="AV34" s="173">
        <v>4</v>
      </c>
    </row>
    <row r="35" spans="1:48" s="173" customFormat="1" ht="36" customHeight="1" x14ac:dyDescent="0.9">
      <c r="A35" s="173">
        <v>1</v>
      </c>
      <c r="B35" s="91">
        <f>SUBTOTAL(103,$A$16:A35)</f>
        <v>20</v>
      </c>
      <c r="C35" s="90" t="s">
        <v>509</v>
      </c>
      <c r="D35" s="185">
        <v>1980</v>
      </c>
      <c r="E35" s="185"/>
      <c r="F35" s="191" t="s">
        <v>273</v>
      </c>
      <c r="G35" s="185">
        <v>5</v>
      </c>
      <c r="H35" s="185">
        <v>4</v>
      </c>
      <c r="I35" s="189">
        <v>3320</v>
      </c>
      <c r="J35" s="189">
        <v>3048.7</v>
      </c>
      <c r="K35" s="189">
        <v>2877.8</v>
      </c>
      <c r="L35" s="187">
        <v>147</v>
      </c>
      <c r="M35" s="185" t="s">
        <v>271</v>
      </c>
      <c r="N35" s="185" t="s">
        <v>275</v>
      </c>
      <c r="O35" s="188" t="s">
        <v>1100</v>
      </c>
      <c r="P35" s="189">
        <v>4074712.4</v>
      </c>
      <c r="Q35" s="189">
        <v>0</v>
      </c>
      <c r="R35" s="189">
        <v>0</v>
      </c>
      <c r="S35" s="189">
        <f t="shared" si="4"/>
        <v>4074712.4</v>
      </c>
      <c r="T35" s="189">
        <f t="shared" si="0"/>
        <v>1227.3230120481928</v>
      </c>
      <c r="U35" s="189">
        <f t="shared" si="8"/>
        <v>1415.5481927710844</v>
      </c>
      <c r="V35" s="170">
        <f t="shared" si="5"/>
        <v>188.22518072289154</v>
      </c>
      <c r="W35" s="170"/>
      <c r="X35" s="170"/>
      <c r="Y35" s="173">
        <f t="shared" si="6"/>
        <v>1415.5481927710844</v>
      </c>
      <c r="AA35" s="173">
        <f t="shared" si="1"/>
        <v>900</v>
      </c>
      <c r="AC35" s="173" t="s">
        <v>514</v>
      </c>
      <c r="AD35" s="173">
        <v>481</v>
      </c>
      <c r="AH35" s="173" t="e">
        <f t="shared" si="2"/>
        <v>#N/A</v>
      </c>
      <c r="AJ35" s="173" t="s">
        <v>1165</v>
      </c>
      <c r="AK35" s="173">
        <v>741.84</v>
      </c>
      <c r="AS35" s="173" t="e">
        <f t="shared" si="3"/>
        <v>#N/A</v>
      </c>
      <c r="AU35" s="173" t="s">
        <v>789</v>
      </c>
      <c r="AV35" s="173">
        <v>3</v>
      </c>
    </row>
    <row r="36" spans="1:48" s="173" customFormat="1" ht="36" customHeight="1" x14ac:dyDescent="0.9">
      <c r="A36" s="173">
        <v>1</v>
      </c>
      <c r="B36" s="91">
        <f>SUBTOTAL(103,$A$16:A36)</f>
        <v>21</v>
      </c>
      <c r="C36" s="90" t="s">
        <v>511</v>
      </c>
      <c r="D36" s="185">
        <v>1968</v>
      </c>
      <c r="E36" s="185"/>
      <c r="F36" s="191" t="s">
        <v>273</v>
      </c>
      <c r="G36" s="185">
        <v>5</v>
      </c>
      <c r="H36" s="185">
        <v>5</v>
      </c>
      <c r="I36" s="189">
        <v>5941.6</v>
      </c>
      <c r="J36" s="189">
        <v>4706.8</v>
      </c>
      <c r="K36" s="189">
        <v>3495.5</v>
      </c>
      <c r="L36" s="187">
        <v>147</v>
      </c>
      <c r="M36" s="185" t="s">
        <v>271</v>
      </c>
      <c r="N36" s="185" t="s">
        <v>275</v>
      </c>
      <c r="O36" s="188" t="s">
        <v>1411</v>
      </c>
      <c r="P36" s="189">
        <v>4205685.74</v>
      </c>
      <c r="Q36" s="189">
        <v>0</v>
      </c>
      <c r="R36" s="189">
        <v>0</v>
      </c>
      <c r="S36" s="189">
        <f t="shared" si="4"/>
        <v>4205685.74</v>
      </c>
      <c r="T36" s="189">
        <f t="shared" si="0"/>
        <v>707.8372391275077</v>
      </c>
      <c r="U36" s="189">
        <f t="shared" si="8"/>
        <v>930.1792648444864</v>
      </c>
      <c r="V36" s="170">
        <f t="shared" si="5"/>
        <v>222.3420257169787</v>
      </c>
      <c r="W36" s="170"/>
      <c r="X36" s="170"/>
      <c r="Y36" s="173">
        <f t="shared" si="6"/>
        <v>930.1792648444864</v>
      </c>
      <c r="AA36" s="173">
        <f t="shared" si="1"/>
        <v>1058.4000000000001</v>
      </c>
      <c r="AC36" s="173" t="s">
        <v>515</v>
      </c>
      <c r="AD36" s="173">
        <v>605</v>
      </c>
      <c r="AH36" s="173" t="e">
        <f t="shared" si="2"/>
        <v>#N/A</v>
      </c>
      <c r="AJ36" s="173" t="s">
        <v>1166</v>
      </c>
      <c r="AK36" s="173">
        <v>905.1</v>
      </c>
      <c r="AS36" s="173" t="e">
        <f t="shared" si="3"/>
        <v>#N/A</v>
      </c>
      <c r="AU36" s="173" t="s">
        <v>790</v>
      </c>
      <c r="AV36" s="173">
        <v>4</v>
      </c>
    </row>
    <row r="37" spans="1:48" s="173" customFormat="1" ht="36" customHeight="1" x14ac:dyDescent="0.9">
      <c r="A37" s="173">
        <v>1</v>
      </c>
      <c r="B37" s="91">
        <f>SUBTOTAL(103,$A$16:A37)</f>
        <v>22</v>
      </c>
      <c r="C37" s="90" t="s">
        <v>1674</v>
      </c>
      <c r="D37" s="185">
        <v>1988</v>
      </c>
      <c r="E37" s="185"/>
      <c r="F37" s="191" t="s">
        <v>319</v>
      </c>
      <c r="G37" s="185">
        <v>5</v>
      </c>
      <c r="H37" s="185">
        <v>3</v>
      </c>
      <c r="I37" s="189">
        <v>2415</v>
      </c>
      <c r="J37" s="189">
        <v>2076.5</v>
      </c>
      <c r="K37" s="189">
        <v>2076.5</v>
      </c>
      <c r="L37" s="187">
        <v>101</v>
      </c>
      <c r="M37" s="185" t="s">
        <v>271</v>
      </c>
      <c r="N37" s="185" t="s">
        <v>275</v>
      </c>
      <c r="O37" s="188" t="s">
        <v>1411</v>
      </c>
      <c r="P37" s="189">
        <v>2349201.9300000002</v>
      </c>
      <c r="Q37" s="189">
        <v>0</v>
      </c>
      <c r="R37" s="189">
        <v>0</v>
      </c>
      <c r="S37" s="189">
        <f t="shared" si="4"/>
        <v>2349201.9300000002</v>
      </c>
      <c r="T37" s="189">
        <f t="shared" si="0"/>
        <v>972.75442236024855</v>
      </c>
      <c r="U37" s="189">
        <f t="shared" si="8"/>
        <v>1241.145100621118</v>
      </c>
      <c r="V37" s="170">
        <f t="shared" si="5"/>
        <v>268.39067826086944</v>
      </c>
      <c r="W37" s="170"/>
      <c r="X37" s="170"/>
      <c r="Y37" s="173">
        <f t="shared" si="6"/>
        <v>1241.145100621118</v>
      </c>
      <c r="AA37" s="173">
        <f t="shared" si="1"/>
        <v>574.01</v>
      </c>
      <c r="AC37" s="173" t="s">
        <v>516</v>
      </c>
      <c r="AD37" s="173">
        <v>780</v>
      </c>
      <c r="AH37" s="173" t="e">
        <f t="shared" si="2"/>
        <v>#N/A</v>
      </c>
      <c r="AJ37" s="173" t="s">
        <v>1168</v>
      </c>
      <c r="AK37" s="173">
        <v>490</v>
      </c>
      <c r="AS37" s="173" t="e">
        <f t="shared" si="3"/>
        <v>#N/A</v>
      </c>
      <c r="AU37" s="173" t="s">
        <v>791</v>
      </c>
      <c r="AV37" s="173">
        <v>5</v>
      </c>
    </row>
    <row r="38" spans="1:48" s="173" customFormat="1" ht="36" customHeight="1" x14ac:dyDescent="0.9">
      <c r="A38" s="173">
        <v>1</v>
      </c>
      <c r="B38" s="91">
        <f>SUBTOTAL(103,$A$16:A38)</f>
        <v>23</v>
      </c>
      <c r="C38" s="90" t="s">
        <v>512</v>
      </c>
      <c r="D38" s="185">
        <v>1988</v>
      </c>
      <c r="E38" s="185"/>
      <c r="F38" s="191" t="s">
        <v>273</v>
      </c>
      <c r="G38" s="185">
        <v>5</v>
      </c>
      <c r="H38" s="185">
        <v>3</v>
      </c>
      <c r="I38" s="189">
        <v>4166.5</v>
      </c>
      <c r="J38" s="189">
        <v>3262.2</v>
      </c>
      <c r="K38" s="189">
        <v>3262.2</v>
      </c>
      <c r="L38" s="187">
        <v>188</v>
      </c>
      <c r="M38" s="185" t="s">
        <v>271</v>
      </c>
      <c r="N38" s="185" t="s">
        <v>275</v>
      </c>
      <c r="O38" s="188" t="s">
        <v>1426</v>
      </c>
      <c r="P38" s="189">
        <v>4136394.6</v>
      </c>
      <c r="Q38" s="189">
        <v>0</v>
      </c>
      <c r="R38" s="189">
        <v>0</v>
      </c>
      <c r="S38" s="189">
        <f t="shared" si="4"/>
        <v>4136394.6</v>
      </c>
      <c r="T38" s="189">
        <f t="shared" si="0"/>
        <v>992.77441497659913</v>
      </c>
      <c r="U38" s="189">
        <f t="shared" si="8"/>
        <v>1423.7285011400456</v>
      </c>
      <c r="V38" s="170">
        <f t="shared" si="5"/>
        <v>430.9540861634465</v>
      </c>
      <c r="W38" s="170"/>
      <c r="X38" s="170"/>
      <c r="Y38" s="173">
        <f t="shared" si="6"/>
        <v>1423.7285011400456</v>
      </c>
      <c r="AA38" s="173">
        <f t="shared" si="1"/>
        <v>1136</v>
      </c>
      <c r="AC38" s="173" t="s">
        <v>521</v>
      </c>
      <c r="AD38" s="173">
        <v>332.1</v>
      </c>
      <c r="AH38" s="173" t="e">
        <f t="shared" si="2"/>
        <v>#N/A</v>
      </c>
      <c r="AJ38" s="173" t="s">
        <v>1170</v>
      </c>
      <c r="AK38" s="173">
        <v>868.72</v>
      </c>
      <c r="AS38" s="173" t="e">
        <f t="shared" si="3"/>
        <v>#N/A</v>
      </c>
      <c r="AU38" s="173" t="s">
        <v>792</v>
      </c>
      <c r="AV38" s="173">
        <v>5</v>
      </c>
    </row>
    <row r="39" spans="1:48" s="173" customFormat="1" ht="36" customHeight="1" x14ac:dyDescent="0.9">
      <c r="A39" s="173">
        <v>1</v>
      </c>
      <c r="B39" s="91">
        <f>SUBTOTAL(103,$A$16:A39)</f>
        <v>24</v>
      </c>
      <c r="C39" s="90" t="s">
        <v>513</v>
      </c>
      <c r="D39" s="185">
        <v>1981</v>
      </c>
      <c r="E39" s="185"/>
      <c r="F39" s="191" t="s">
        <v>273</v>
      </c>
      <c r="G39" s="185">
        <v>5</v>
      </c>
      <c r="H39" s="185">
        <v>1</v>
      </c>
      <c r="I39" s="189">
        <v>794.8</v>
      </c>
      <c r="J39" s="189">
        <v>792.5</v>
      </c>
      <c r="K39" s="189">
        <v>792.5</v>
      </c>
      <c r="L39" s="187">
        <v>22</v>
      </c>
      <c r="M39" s="185" t="s">
        <v>271</v>
      </c>
      <c r="N39" s="185" t="s">
        <v>275</v>
      </c>
      <c r="O39" s="188" t="s">
        <v>356</v>
      </c>
      <c r="P39" s="189">
        <v>679000</v>
      </c>
      <c r="Q39" s="189">
        <v>0</v>
      </c>
      <c r="R39" s="189">
        <v>0</v>
      </c>
      <c r="S39" s="189">
        <f t="shared" si="4"/>
        <v>679000</v>
      </c>
      <c r="T39" s="189">
        <f t="shared" si="0"/>
        <v>854.30296930045301</v>
      </c>
      <c r="U39" s="189">
        <v>1416.389589632653</v>
      </c>
      <c r="V39" s="170">
        <f t="shared" si="5"/>
        <v>562.08662033220003</v>
      </c>
      <c r="W39" s="170"/>
      <c r="X39" s="170"/>
      <c r="Y39" s="173" t="e">
        <f t="shared" si="6"/>
        <v>#N/A</v>
      </c>
      <c r="AA39" s="173" t="e">
        <f t="shared" si="1"/>
        <v>#N/A</v>
      </c>
      <c r="AC39" s="173" t="s">
        <v>522</v>
      </c>
      <c r="AD39" s="173">
        <v>231</v>
      </c>
      <c r="AH39" s="173" t="e">
        <f t="shared" si="2"/>
        <v>#N/A</v>
      </c>
      <c r="AJ39" s="173" t="s">
        <v>1171</v>
      </c>
      <c r="AK39" s="173">
        <v>573.12</v>
      </c>
      <c r="AS39" s="173" t="e">
        <f t="shared" si="3"/>
        <v>#N/A</v>
      </c>
      <c r="AU39" s="173" t="s">
        <v>1199</v>
      </c>
      <c r="AV39" s="173">
        <v>3</v>
      </c>
    </row>
    <row r="40" spans="1:48" s="173" customFormat="1" ht="36" customHeight="1" x14ac:dyDescent="0.9">
      <c r="A40" s="173">
        <v>1</v>
      </c>
      <c r="B40" s="91">
        <f>SUBTOTAL(103,$A$16:A40)</f>
        <v>25</v>
      </c>
      <c r="C40" s="90" t="s">
        <v>514</v>
      </c>
      <c r="D40" s="185">
        <v>1985</v>
      </c>
      <c r="E40" s="185"/>
      <c r="F40" s="191" t="s">
        <v>319</v>
      </c>
      <c r="G40" s="185">
        <v>2</v>
      </c>
      <c r="H40" s="185">
        <v>2</v>
      </c>
      <c r="I40" s="189">
        <v>617.79999999999995</v>
      </c>
      <c r="J40" s="189">
        <v>560.5</v>
      </c>
      <c r="K40" s="189">
        <v>560.5</v>
      </c>
      <c r="L40" s="187">
        <v>35</v>
      </c>
      <c r="M40" s="185" t="s">
        <v>271</v>
      </c>
      <c r="N40" s="185" t="s">
        <v>275</v>
      </c>
      <c r="O40" s="188" t="s">
        <v>1410</v>
      </c>
      <c r="P40" s="189">
        <v>2593678.4700000002</v>
      </c>
      <c r="Q40" s="189">
        <v>0</v>
      </c>
      <c r="R40" s="189">
        <v>0</v>
      </c>
      <c r="S40" s="189">
        <f t="shared" si="4"/>
        <v>2593678.4700000002</v>
      </c>
      <c r="T40" s="189">
        <f t="shared" si="0"/>
        <v>4198.249384914212</v>
      </c>
      <c r="U40" s="189">
        <v>4198.249384914212</v>
      </c>
      <c r="V40" s="170">
        <f t="shared" si="5"/>
        <v>0</v>
      </c>
      <c r="W40" s="170"/>
      <c r="X40" s="170"/>
      <c r="Y40" s="173">
        <f t="shared" si="6"/>
        <v>4065.5322110715451</v>
      </c>
      <c r="AA40" s="173">
        <f t="shared" si="1"/>
        <v>481</v>
      </c>
      <c r="AC40" s="173" t="s">
        <v>525</v>
      </c>
      <c r="AD40" s="173">
        <v>794.6</v>
      </c>
      <c r="AH40" s="173" t="e">
        <f t="shared" si="2"/>
        <v>#N/A</v>
      </c>
      <c r="AJ40" s="173" t="s">
        <v>1172</v>
      </c>
      <c r="AK40" s="173">
        <v>397</v>
      </c>
      <c r="AS40" s="173" t="e">
        <f t="shared" si="3"/>
        <v>#N/A</v>
      </c>
      <c r="AU40" s="173" t="s">
        <v>1202</v>
      </c>
      <c r="AV40" s="173">
        <v>4</v>
      </c>
    </row>
    <row r="41" spans="1:48" s="173" customFormat="1" ht="36" customHeight="1" x14ac:dyDescent="0.9">
      <c r="A41" s="173">
        <v>1</v>
      </c>
      <c r="B41" s="91">
        <f>SUBTOTAL(103,$A$16:A41)</f>
        <v>26</v>
      </c>
      <c r="C41" s="90" t="s">
        <v>515</v>
      </c>
      <c r="D41" s="185">
        <v>1967</v>
      </c>
      <c r="E41" s="185"/>
      <c r="F41" s="191" t="s">
        <v>273</v>
      </c>
      <c r="G41" s="185">
        <v>2</v>
      </c>
      <c r="H41" s="185">
        <v>2</v>
      </c>
      <c r="I41" s="189">
        <v>705.8</v>
      </c>
      <c r="J41" s="189">
        <v>652.9</v>
      </c>
      <c r="K41" s="189">
        <v>519.20000000000005</v>
      </c>
      <c r="L41" s="187">
        <v>38</v>
      </c>
      <c r="M41" s="185" t="s">
        <v>271</v>
      </c>
      <c r="N41" s="185" t="s">
        <v>275</v>
      </c>
      <c r="O41" s="188" t="s">
        <v>1410</v>
      </c>
      <c r="P41" s="189">
        <v>2400313.5499999998</v>
      </c>
      <c r="Q41" s="189">
        <v>0</v>
      </c>
      <c r="R41" s="189">
        <v>0</v>
      </c>
      <c r="S41" s="189">
        <f t="shared" si="4"/>
        <v>2400313.5499999998</v>
      </c>
      <c r="T41" s="189">
        <f t="shared" si="0"/>
        <v>3400.8409606120713</v>
      </c>
      <c r="U41" s="189">
        <f>Y41</f>
        <v>4476.0399546613771</v>
      </c>
      <c r="V41" s="170">
        <f t="shared" si="5"/>
        <v>1075.1989940493058</v>
      </c>
      <c r="W41" s="170"/>
      <c r="X41" s="170"/>
      <c r="Y41" s="173">
        <f t="shared" si="6"/>
        <v>4476.0399546613771</v>
      </c>
      <c r="AA41" s="173">
        <f t="shared" si="1"/>
        <v>605</v>
      </c>
      <c r="AC41" s="173" t="s">
        <v>526</v>
      </c>
      <c r="AD41" s="173">
        <v>861</v>
      </c>
      <c r="AH41" s="173" t="e">
        <f t="shared" si="2"/>
        <v>#N/A</v>
      </c>
      <c r="AJ41" s="173" t="s">
        <v>1314</v>
      </c>
      <c r="AK41" s="173">
        <v>593.15</v>
      </c>
      <c r="AS41" s="173" t="e">
        <f t="shared" si="3"/>
        <v>#N/A</v>
      </c>
      <c r="AU41" s="173" t="s">
        <v>1398</v>
      </c>
      <c r="AV41" s="173">
        <v>9</v>
      </c>
    </row>
    <row r="42" spans="1:48" s="173" customFormat="1" ht="36" customHeight="1" x14ac:dyDescent="0.9">
      <c r="A42" s="173">
        <v>1</v>
      </c>
      <c r="B42" s="91">
        <f>SUBTOTAL(103,$A$16:A42)</f>
        <v>27</v>
      </c>
      <c r="C42" s="90" t="s">
        <v>516</v>
      </c>
      <c r="D42" s="185">
        <v>1972</v>
      </c>
      <c r="E42" s="185"/>
      <c r="F42" s="191" t="s">
        <v>273</v>
      </c>
      <c r="G42" s="185">
        <v>2</v>
      </c>
      <c r="H42" s="185">
        <v>2</v>
      </c>
      <c r="I42" s="189">
        <v>790.6</v>
      </c>
      <c r="J42" s="189">
        <v>725.4</v>
      </c>
      <c r="K42" s="189">
        <v>532.9</v>
      </c>
      <c r="L42" s="187">
        <v>47</v>
      </c>
      <c r="M42" s="185" t="s">
        <v>271</v>
      </c>
      <c r="N42" s="185" t="s">
        <v>275</v>
      </c>
      <c r="O42" s="188" t="s">
        <v>1683</v>
      </c>
      <c r="P42" s="189">
        <v>3267511.32</v>
      </c>
      <c r="Q42" s="189">
        <v>0</v>
      </c>
      <c r="R42" s="189">
        <v>0</v>
      </c>
      <c r="S42" s="189">
        <f t="shared" si="4"/>
        <v>3267511.32</v>
      </c>
      <c r="T42" s="189">
        <f t="shared" si="0"/>
        <v>4132.9513281052359</v>
      </c>
      <c r="U42" s="189">
        <f>Y42</f>
        <v>5151.7885150518596</v>
      </c>
      <c r="V42" s="170">
        <f t="shared" si="5"/>
        <v>1018.8371869466237</v>
      </c>
      <c r="W42" s="170"/>
      <c r="X42" s="170"/>
      <c r="Y42" s="173">
        <f t="shared" si="6"/>
        <v>5151.7885150518596</v>
      </c>
      <c r="AA42" s="173">
        <f t="shared" si="1"/>
        <v>780</v>
      </c>
      <c r="AC42" s="173" t="s">
        <v>527</v>
      </c>
      <c r="AD42" s="173">
        <v>287</v>
      </c>
      <c r="AH42" s="173" t="e">
        <f t="shared" si="2"/>
        <v>#N/A</v>
      </c>
      <c r="AJ42" s="173" t="s">
        <v>1602</v>
      </c>
      <c r="AK42" s="173">
        <v>634.6</v>
      </c>
      <c r="AS42" s="173" t="e">
        <f t="shared" si="3"/>
        <v>#N/A</v>
      </c>
      <c r="AU42" s="173" t="s">
        <v>1414</v>
      </c>
      <c r="AV42" s="173">
        <v>3</v>
      </c>
    </row>
    <row r="43" spans="1:48" s="173" customFormat="1" ht="36" customHeight="1" x14ac:dyDescent="0.9">
      <c r="A43" s="173">
        <v>1</v>
      </c>
      <c r="B43" s="91">
        <f>SUBTOTAL(103,$A$16:A43)</f>
        <v>28</v>
      </c>
      <c r="C43" s="90" t="s">
        <v>517</v>
      </c>
      <c r="D43" s="185">
        <v>1994</v>
      </c>
      <c r="E43" s="185"/>
      <c r="F43" s="191" t="s">
        <v>319</v>
      </c>
      <c r="G43" s="185">
        <v>9</v>
      </c>
      <c r="H43" s="185">
        <v>7</v>
      </c>
      <c r="I43" s="189">
        <v>14325</v>
      </c>
      <c r="J43" s="189">
        <v>14166</v>
      </c>
      <c r="K43" s="189">
        <v>14001.7</v>
      </c>
      <c r="L43" s="187">
        <v>600</v>
      </c>
      <c r="M43" s="185" t="s">
        <v>271</v>
      </c>
      <c r="N43" s="185" t="s">
        <v>275</v>
      </c>
      <c r="O43" s="188" t="s">
        <v>356</v>
      </c>
      <c r="P43" s="189">
        <v>13915854.74</v>
      </c>
      <c r="Q43" s="189">
        <v>0</v>
      </c>
      <c r="R43" s="189">
        <v>0</v>
      </c>
      <c r="S43" s="189">
        <f t="shared" si="4"/>
        <v>13915854.74</v>
      </c>
      <c r="T43" s="189">
        <f t="shared" si="0"/>
        <v>971.43837626527056</v>
      </c>
      <c r="U43" s="189">
        <f>AR43</f>
        <v>1078.6660383944154</v>
      </c>
      <c r="V43" s="170">
        <f t="shared" si="5"/>
        <v>107.22766212914485</v>
      </c>
      <c r="W43" s="170"/>
      <c r="X43" s="170"/>
      <c r="Y43" s="173" t="e">
        <f t="shared" si="6"/>
        <v>#N/A</v>
      </c>
      <c r="AA43" s="173" t="e">
        <f t="shared" si="1"/>
        <v>#N/A</v>
      </c>
      <c r="AC43" s="173" t="s">
        <v>528</v>
      </c>
      <c r="AD43" s="173">
        <v>1765</v>
      </c>
      <c r="AH43" s="173" t="e">
        <f t="shared" si="2"/>
        <v>#N/A</v>
      </c>
      <c r="AJ43" s="173" t="s">
        <v>1180</v>
      </c>
      <c r="AK43" s="173">
        <v>1171</v>
      </c>
      <c r="AR43" s="173">
        <f>AS43*2207413/I43</f>
        <v>1078.6660383944154</v>
      </c>
      <c r="AS43" s="173">
        <f t="shared" si="3"/>
        <v>7</v>
      </c>
      <c r="AU43" s="173" t="s">
        <v>1415</v>
      </c>
      <c r="AV43" s="173">
        <v>4</v>
      </c>
    </row>
    <row r="44" spans="1:48" s="173" customFormat="1" ht="36" customHeight="1" x14ac:dyDescent="0.9">
      <c r="A44" s="173">
        <v>1</v>
      </c>
      <c r="B44" s="91">
        <f>SUBTOTAL(103,$A$16:A44)</f>
        <v>29</v>
      </c>
      <c r="C44" s="90" t="s">
        <v>518</v>
      </c>
      <c r="D44" s="185">
        <v>1994</v>
      </c>
      <c r="E44" s="185"/>
      <c r="F44" s="191" t="s">
        <v>319</v>
      </c>
      <c r="G44" s="185">
        <v>9</v>
      </c>
      <c r="H44" s="185">
        <v>2</v>
      </c>
      <c r="I44" s="189">
        <v>5491.1</v>
      </c>
      <c r="J44" s="189">
        <v>5444.9</v>
      </c>
      <c r="K44" s="189">
        <v>5379.7</v>
      </c>
      <c r="L44" s="187">
        <v>257</v>
      </c>
      <c r="M44" s="185" t="s">
        <v>271</v>
      </c>
      <c r="N44" s="185" t="s">
        <v>275</v>
      </c>
      <c r="O44" s="188" t="s">
        <v>356</v>
      </c>
      <c r="P44" s="189">
        <v>4260892</v>
      </c>
      <c r="Q44" s="189">
        <v>0</v>
      </c>
      <c r="R44" s="189">
        <v>0</v>
      </c>
      <c r="S44" s="189">
        <f t="shared" si="4"/>
        <v>4260892</v>
      </c>
      <c r="T44" s="189">
        <f t="shared" si="0"/>
        <v>775.96328604469045</v>
      </c>
      <c r="U44" s="189">
        <f>AR44</f>
        <v>803.99664912312642</v>
      </c>
      <c r="V44" s="170">
        <f t="shared" si="5"/>
        <v>28.033363078435968</v>
      </c>
      <c r="W44" s="170"/>
      <c r="X44" s="170"/>
      <c r="Y44" s="173" t="e">
        <f t="shared" si="6"/>
        <v>#N/A</v>
      </c>
      <c r="AA44" s="173" t="e">
        <f t="shared" si="1"/>
        <v>#N/A</v>
      </c>
      <c r="AC44" s="173" t="s">
        <v>529</v>
      </c>
      <c r="AD44" s="173">
        <v>2035</v>
      </c>
      <c r="AH44" s="173" t="e">
        <f t="shared" si="2"/>
        <v>#N/A</v>
      </c>
      <c r="AJ44" s="173" t="s">
        <v>1320</v>
      </c>
      <c r="AK44" s="173">
        <v>2524</v>
      </c>
      <c r="AR44" s="173">
        <f>AS44*2207413/I44</f>
        <v>803.99664912312642</v>
      </c>
      <c r="AS44" s="173">
        <f t="shared" si="3"/>
        <v>2</v>
      </c>
      <c r="AU44" s="173" t="s">
        <v>1416</v>
      </c>
      <c r="AV44" s="173">
        <v>3</v>
      </c>
    </row>
    <row r="45" spans="1:48" s="173" customFormat="1" ht="36" customHeight="1" x14ac:dyDescent="0.9">
      <c r="A45" s="173">
        <v>1</v>
      </c>
      <c r="B45" s="91">
        <f>SUBTOTAL(103,$A$16:A45)</f>
        <v>30</v>
      </c>
      <c r="C45" s="90" t="s">
        <v>519</v>
      </c>
      <c r="D45" s="185">
        <v>1993</v>
      </c>
      <c r="E45" s="185"/>
      <c r="F45" s="191" t="s">
        <v>319</v>
      </c>
      <c r="G45" s="185">
        <v>9</v>
      </c>
      <c r="H45" s="185">
        <v>1</v>
      </c>
      <c r="I45" s="189">
        <v>1614.7</v>
      </c>
      <c r="J45" s="189">
        <v>1585.9</v>
      </c>
      <c r="K45" s="189">
        <v>1361.4</v>
      </c>
      <c r="L45" s="187">
        <v>66</v>
      </c>
      <c r="M45" s="185" t="s">
        <v>271</v>
      </c>
      <c r="N45" s="185" t="s">
        <v>275</v>
      </c>
      <c r="O45" s="188" t="s">
        <v>356</v>
      </c>
      <c r="P45" s="189">
        <v>2178303</v>
      </c>
      <c r="Q45" s="189">
        <v>0</v>
      </c>
      <c r="R45" s="189">
        <v>0</v>
      </c>
      <c r="S45" s="189">
        <f t="shared" si="4"/>
        <v>2178303</v>
      </c>
      <c r="T45" s="189">
        <f t="shared" si="0"/>
        <v>1349.0450238434385</v>
      </c>
      <c r="U45" s="189">
        <f>AR45</f>
        <v>1367.073140521459</v>
      </c>
      <c r="V45" s="170">
        <f t="shared" si="5"/>
        <v>18.028116678020524</v>
      </c>
      <c r="W45" s="170"/>
      <c r="X45" s="170"/>
      <c r="Y45" s="173" t="e">
        <f t="shared" si="6"/>
        <v>#N/A</v>
      </c>
      <c r="AA45" s="173" t="e">
        <f t="shared" si="1"/>
        <v>#N/A</v>
      </c>
      <c r="AC45" s="173" t="s">
        <v>530</v>
      </c>
      <c r="AD45" s="173">
        <v>918</v>
      </c>
      <c r="AH45" s="173" t="e">
        <f t="shared" si="2"/>
        <v>#N/A</v>
      </c>
      <c r="AJ45" s="173" t="s">
        <v>786</v>
      </c>
      <c r="AK45" s="173">
        <v>1402</v>
      </c>
      <c r="AR45" s="173">
        <f>AS45*2207413/I45</f>
        <v>1367.073140521459</v>
      </c>
      <c r="AS45" s="173">
        <f t="shared" si="3"/>
        <v>1</v>
      </c>
      <c r="AU45" s="173" t="s">
        <v>1417</v>
      </c>
      <c r="AV45" s="173">
        <v>4</v>
      </c>
    </row>
    <row r="46" spans="1:48" s="173" customFormat="1" ht="36" customHeight="1" x14ac:dyDescent="0.9">
      <c r="A46" s="173">
        <v>1</v>
      </c>
      <c r="B46" s="91">
        <f>SUBTOTAL(103,$A$16:A46)</f>
        <v>31</v>
      </c>
      <c r="C46" s="90" t="s">
        <v>520</v>
      </c>
      <c r="D46" s="185">
        <v>1993</v>
      </c>
      <c r="E46" s="185"/>
      <c r="F46" s="191" t="s">
        <v>319</v>
      </c>
      <c r="G46" s="185">
        <v>9</v>
      </c>
      <c r="H46" s="185">
        <v>2</v>
      </c>
      <c r="I46" s="189">
        <v>4490.3</v>
      </c>
      <c r="J46" s="189">
        <v>4474.6000000000004</v>
      </c>
      <c r="K46" s="189">
        <v>4474.6000000000004</v>
      </c>
      <c r="L46" s="187">
        <v>177</v>
      </c>
      <c r="M46" s="185" t="s">
        <v>271</v>
      </c>
      <c r="N46" s="185" t="s">
        <v>275</v>
      </c>
      <c r="O46" s="188" t="s">
        <v>356</v>
      </c>
      <c r="P46" s="189">
        <v>4396606</v>
      </c>
      <c r="Q46" s="189">
        <v>0</v>
      </c>
      <c r="R46" s="189">
        <v>0</v>
      </c>
      <c r="S46" s="189">
        <f t="shared" si="4"/>
        <v>4396606</v>
      </c>
      <c r="T46" s="189">
        <f t="shared" si="0"/>
        <v>979.13413357682111</v>
      </c>
      <c r="U46" s="189">
        <f>AR46</f>
        <v>983.19176892412531</v>
      </c>
      <c r="V46" s="170">
        <f t="shared" si="5"/>
        <v>4.0576353473041991</v>
      </c>
      <c r="W46" s="170"/>
      <c r="X46" s="170"/>
      <c r="Y46" s="173" t="e">
        <f t="shared" si="6"/>
        <v>#N/A</v>
      </c>
      <c r="AA46" s="173" t="e">
        <f t="shared" si="1"/>
        <v>#N/A</v>
      </c>
      <c r="AC46" s="173" t="s">
        <v>531</v>
      </c>
      <c r="AD46" s="173">
        <v>1045</v>
      </c>
      <c r="AH46" s="173" t="e">
        <f t="shared" si="2"/>
        <v>#N/A</v>
      </c>
      <c r="AJ46" s="173" t="s">
        <v>1192</v>
      </c>
      <c r="AK46" s="173">
        <v>808.48</v>
      </c>
      <c r="AR46" s="173">
        <f>AS46*2207413/I46</f>
        <v>983.19176892412531</v>
      </c>
      <c r="AS46" s="173">
        <f t="shared" si="3"/>
        <v>2</v>
      </c>
      <c r="AU46" s="173" t="s">
        <v>1418</v>
      </c>
      <c r="AV46" s="173">
        <v>3</v>
      </c>
    </row>
    <row r="47" spans="1:48" s="173" customFormat="1" ht="36" customHeight="1" x14ac:dyDescent="0.9">
      <c r="A47" s="173">
        <v>1</v>
      </c>
      <c r="B47" s="91">
        <f>SUBTOTAL(103,$A$16:A47)</f>
        <v>32</v>
      </c>
      <c r="C47" s="90" t="s">
        <v>521</v>
      </c>
      <c r="D47" s="185">
        <v>1987</v>
      </c>
      <c r="E47" s="185"/>
      <c r="F47" s="191" t="s">
        <v>273</v>
      </c>
      <c r="G47" s="185">
        <v>5</v>
      </c>
      <c r="H47" s="185">
        <v>2</v>
      </c>
      <c r="I47" s="189">
        <v>1670.9</v>
      </c>
      <c r="J47" s="189">
        <v>1146.4000000000001</v>
      </c>
      <c r="K47" s="189">
        <v>1030.9000000000001</v>
      </c>
      <c r="L47" s="187">
        <v>65</v>
      </c>
      <c r="M47" s="185" t="s">
        <v>271</v>
      </c>
      <c r="N47" s="185" t="s">
        <v>275</v>
      </c>
      <c r="O47" s="188" t="s">
        <v>1116</v>
      </c>
      <c r="P47" s="189">
        <v>1258287.8499999999</v>
      </c>
      <c r="Q47" s="189">
        <v>0</v>
      </c>
      <c r="R47" s="189">
        <v>0</v>
      </c>
      <c r="S47" s="189">
        <f t="shared" si="4"/>
        <v>1258287.8499999999</v>
      </c>
      <c r="T47" s="189">
        <f t="shared" si="0"/>
        <v>753.05993775809429</v>
      </c>
      <c r="U47" s="189">
        <f>Y47</f>
        <v>1037.8597043509487</v>
      </c>
      <c r="V47" s="170">
        <f t="shared" si="5"/>
        <v>284.79976659285444</v>
      </c>
      <c r="W47" s="170"/>
      <c r="X47" s="170"/>
      <c r="Y47" s="173">
        <f t="shared" si="6"/>
        <v>1037.8597043509487</v>
      </c>
      <c r="AA47" s="173">
        <f t="shared" si="1"/>
        <v>332.1</v>
      </c>
      <c r="AC47" s="173" t="s">
        <v>532</v>
      </c>
      <c r="AD47" s="173">
        <v>627</v>
      </c>
      <c r="AH47" s="173" t="e">
        <f t="shared" si="2"/>
        <v>#N/A</v>
      </c>
      <c r="AJ47" s="173" t="s">
        <v>1196</v>
      </c>
      <c r="AK47" s="173">
        <v>2100</v>
      </c>
      <c r="AS47" s="173" t="e">
        <f t="shared" si="3"/>
        <v>#N/A</v>
      </c>
      <c r="AU47" s="173" t="s">
        <v>1581</v>
      </c>
      <c r="AV47" s="173">
        <v>1</v>
      </c>
    </row>
    <row r="48" spans="1:48" s="173" customFormat="1" ht="36" customHeight="1" x14ac:dyDescent="0.9">
      <c r="A48" s="173">
        <v>1</v>
      </c>
      <c r="B48" s="91">
        <f>SUBTOTAL(103,$A$16:A48)</f>
        <v>33</v>
      </c>
      <c r="C48" s="90" t="s">
        <v>522</v>
      </c>
      <c r="D48" s="185">
        <v>1983</v>
      </c>
      <c r="E48" s="185"/>
      <c r="F48" s="191" t="s">
        <v>273</v>
      </c>
      <c r="G48" s="185">
        <v>5</v>
      </c>
      <c r="H48" s="185">
        <v>1</v>
      </c>
      <c r="I48" s="189">
        <v>629</v>
      </c>
      <c r="J48" s="189">
        <v>568.5</v>
      </c>
      <c r="K48" s="189">
        <v>568.5</v>
      </c>
      <c r="L48" s="187">
        <v>31</v>
      </c>
      <c r="M48" s="185" t="s">
        <v>271</v>
      </c>
      <c r="N48" s="185" t="s">
        <v>275</v>
      </c>
      <c r="O48" s="188" t="s">
        <v>1100</v>
      </c>
      <c r="P48" s="189">
        <v>947034.45</v>
      </c>
      <c r="Q48" s="189">
        <v>0</v>
      </c>
      <c r="R48" s="189">
        <v>0</v>
      </c>
      <c r="S48" s="189">
        <f t="shared" si="4"/>
        <v>947034.45</v>
      </c>
      <c r="T48" s="189">
        <f t="shared" si="0"/>
        <v>1505.6191573926867</v>
      </c>
      <c r="U48" s="189">
        <f>Y48</f>
        <v>1917.7039745627981</v>
      </c>
      <c r="V48" s="170">
        <f t="shared" si="5"/>
        <v>412.08481717011136</v>
      </c>
      <c r="W48" s="170"/>
      <c r="X48" s="170"/>
      <c r="Y48" s="173">
        <f t="shared" si="6"/>
        <v>1917.7039745627981</v>
      </c>
      <c r="AA48" s="173">
        <f t="shared" si="1"/>
        <v>231</v>
      </c>
      <c r="AC48" s="173" t="s">
        <v>533</v>
      </c>
      <c r="AD48" s="173">
        <v>575.94000000000005</v>
      </c>
      <c r="AH48" s="173" t="e">
        <f t="shared" si="2"/>
        <v>#N/A</v>
      </c>
      <c r="AJ48" s="173" t="s">
        <v>1198</v>
      </c>
      <c r="AK48" s="173">
        <v>364.88</v>
      </c>
      <c r="AS48" s="173" t="e">
        <f t="shared" si="3"/>
        <v>#N/A</v>
      </c>
      <c r="AU48" s="173" t="s">
        <v>1582</v>
      </c>
      <c r="AV48" s="173">
        <v>2</v>
      </c>
    </row>
    <row r="49" spans="1:48" s="173" customFormat="1" ht="36" customHeight="1" x14ac:dyDescent="0.9">
      <c r="A49" s="173">
        <v>1</v>
      </c>
      <c r="B49" s="91">
        <f>SUBTOTAL(103,$A$16:A49)</f>
        <v>34</v>
      </c>
      <c r="C49" s="90" t="s">
        <v>523</v>
      </c>
      <c r="D49" s="185">
        <v>1959</v>
      </c>
      <c r="E49" s="185"/>
      <c r="F49" s="191" t="s">
        <v>273</v>
      </c>
      <c r="G49" s="185">
        <v>2</v>
      </c>
      <c r="H49" s="185">
        <v>1</v>
      </c>
      <c r="I49" s="189">
        <v>313.3</v>
      </c>
      <c r="J49" s="189">
        <v>290.10000000000002</v>
      </c>
      <c r="K49" s="189">
        <v>290.10000000000002</v>
      </c>
      <c r="L49" s="187">
        <v>24</v>
      </c>
      <c r="M49" s="185" t="s">
        <v>271</v>
      </c>
      <c r="N49" s="185" t="s">
        <v>275</v>
      </c>
      <c r="O49" s="188" t="s">
        <v>1100</v>
      </c>
      <c r="P49" s="189">
        <v>1287913.6700000002</v>
      </c>
      <c r="Q49" s="189">
        <v>0</v>
      </c>
      <c r="R49" s="189">
        <v>0</v>
      </c>
      <c r="S49" s="189">
        <f t="shared" si="4"/>
        <v>1287913.6700000002</v>
      </c>
      <c r="T49" s="189">
        <f t="shared" si="0"/>
        <v>4110.8000957548675</v>
      </c>
      <c r="U49" s="189">
        <f>AG49</f>
        <v>7540.4650699758686</v>
      </c>
      <c r="V49" s="170">
        <f t="shared" si="5"/>
        <v>3429.6649742210011</v>
      </c>
      <c r="W49" s="170"/>
      <c r="X49" s="170"/>
      <c r="Y49" s="173" t="e">
        <f t="shared" si="6"/>
        <v>#N/A</v>
      </c>
      <c r="AA49" s="173" t="e">
        <f t="shared" si="1"/>
        <v>#N/A</v>
      </c>
      <c r="AC49" s="173" t="s">
        <v>534</v>
      </c>
      <c r="AD49" s="173">
        <v>839</v>
      </c>
      <c r="AG49" s="173">
        <f>AH49*6191.24/J49</f>
        <v>7540.4650699758686</v>
      </c>
      <c r="AH49" s="173">
        <f t="shared" si="2"/>
        <v>353.32</v>
      </c>
      <c r="AJ49" s="173" t="s">
        <v>1200</v>
      </c>
      <c r="AK49" s="173">
        <v>519.4</v>
      </c>
      <c r="AS49" s="173" t="e">
        <f t="shared" si="3"/>
        <v>#N/A</v>
      </c>
      <c r="AU49" s="173" t="s">
        <v>1583</v>
      </c>
      <c r="AV49" s="173">
        <v>3</v>
      </c>
    </row>
    <row r="50" spans="1:48" s="173" customFormat="1" ht="36" customHeight="1" x14ac:dyDescent="0.9">
      <c r="A50" s="173">
        <v>1</v>
      </c>
      <c r="B50" s="91">
        <f>SUBTOTAL(103,$A$16:A50)</f>
        <v>35</v>
      </c>
      <c r="C50" s="90" t="s">
        <v>524</v>
      </c>
      <c r="D50" s="185">
        <v>1969</v>
      </c>
      <c r="E50" s="185"/>
      <c r="F50" s="191" t="s">
        <v>273</v>
      </c>
      <c r="G50" s="185">
        <v>9</v>
      </c>
      <c r="H50" s="185">
        <v>1</v>
      </c>
      <c r="I50" s="189">
        <v>2575.6999999999998</v>
      </c>
      <c r="J50" s="189">
        <v>2278.3000000000002</v>
      </c>
      <c r="K50" s="189">
        <v>2233.5</v>
      </c>
      <c r="L50" s="187">
        <v>84</v>
      </c>
      <c r="M50" s="185" t="s">
        <v>271</v>
      </c>
      <c r="N50" s="185" t="s">
        <v>275</v>
      </c>
      <c r="O50" s="188" t="s">
        <v>1100</v>
      </c>
      <c r="P50" s="189">
        <v>2178303</v>
      </c>
      <c r="Q50" s="189">
        <v>0</v>
      </c>
      <c r="R50" s="189">
        <v>0</v>
      </c>
      <c r="S50" s="189">
        <f t="shared" si="4"/>
        <v>2178303</v>
      </c>
      <c r="T50" s="189">
        <f t="shared" si="0"/>
        <v>845.71301005551891</v>
      </c>
      <c r="U50" s="189">
        <f>AR50</f>
        <v>857.01479209535273</v>
      </c>
      <c r="V50" s="170">
        <f t="shared" si="5"/>
        <v>11.301782039833824</v>
      </c>
      <c r="W50" s="170"/>
      <c r="X50" s="170"/>
      <c r="Y50" s="173" t="e">
        <f t="shared" si="6"/>
        <v>#N/A</v>
      </c>
      <c r="AA50" s="173" t="e">
        <f t="shared" si="1"/>
        <v>#N/A</v>
      </c>
      <c r="AC50" s="173" t="s">
        <v>535</v>
      </c>
      <c r="AD50" s="173">
        <v>1065</v>
      </c>
      <c r="AH50" s="173" t="e">
        <f t="shared" si="2"/>
        <v>#N/A</v>
      </c>
      <c r="AJ50" s="173" t="s">
        <v>1201</v>
      </c>
      <c r="AK50" s="173">
        <v>408.93</v>
      </c>
      <c r="AR50" s="173">
        <f>AS50*2207413/I50</f>
        <v>857.01479209535273</v>
      </c>
      <c r="AS50" s="173">
        <f t="shared" si="3"/>
        <v>1</v>
      </c>
      <c r="AU50" s="173" t="s">
        <v>1204</v>
      </c>
      <c r="AV50" s="173">
        <v>2</v>
      </c>
    </row>
    <row r="51" spans="1:48" s="173" customFormat="1" ht="36" customHeight="1" x14ac:dyDescent="0.9">
      <c r="A51" s="173">
        <v>1</v>
      </c>
      <c r="B51" s="91">
        <f>SUBTOTAL(103,$A$16:A51)</f>
        <v>36</v>
      </c>
      <c r="C51" s="90" t="s">
        <v>525</v>
      </c>
      <c r="D51" s="185">
        <v>1983</v>
      </c>
      <c r="E51" s="185"/>
      <c r="F51" s="191" t="s">
        <v>273</v>
      </c>
      <c r="G51" s="185">
        <v>5</v>
      </c>
      <c r="H51" s="185">
        <v>3</v>
      </c>
      <c r="I51" s="189">
        <v>2944</v>
      </c>
      <c r="J51" s="189">
        <v>1558.5</v>
      </c>
      <c r="K51" s="189">
        <v>1519.6</v>
      </c>
      <c r="L51" s="187">
        <v>99</v>
      </c>
      <c r="M51" s="185" t="s">
        <v>271</v>
      </c>
      <c r="N51" s="185" t="s">
        <v>275</v>
      </c>
      <c r="O51" s="188" t="s">
        <v>1100</v>
      </c>
      <c r="P51" s="189">
        <v>2502648.29</v>
      </c>
      <c r="Q51" s="189">
        <v>0</v>
      </c>
      <c r="R51" s="189">
        <v>0</v>
      </c>
      <c r="S51" s="189">
        <f t="shared" si="4"/>
        <v>2502648.29</v>
      </c>
      <c r="T51" s="189">
        <f t="shared" si="0"/>
        <v>850.08433763586959</v>
      </c>
      <c r="U51" s="189">
        <f t="shared" ref="U51:U66" si="9">Y51</f>
        <v>1409.3893614130436</v>
      </c>
      <c r="V51" s="170">
        <f t="shared" si="5"/>
        <v>559.30502377717403</v>
      </c>
      <c r="W51" s="170"/>
      <c r="X51" s="170"/>
      <c r="Y51" s="173">
        <f t="shared" si="6"/>
        <v>1409.3893614130436</v>
      </c>
      <c r="AA51" s="173">
        <f t="shared" si="1"/>
        <v>794.6</v>
      </c>
      <c r="AC51" s="173" t="s">
        <v>536</v>
      </c>
      <c r="AD51" s="173">
        <v>878</v>
      </c>
      <c r="AH51" s="173" t="e">
        <f t="shared" si="2"/>
        <v>#N/A</v>
      </c>
      <c r="AJ51" s="173" t="s">
        <v>390</v>
      </c>
      <c r="AK51" s="173">
        <v>2522.4</v>
      </c>
      <c r="AS51" s="173" t="e">
        <f t="shared" si="3"/>
        <v>#N/A</v>
      </c>
      <c r="AU51" s="173" t="s">
        <v>1600</v>
      </c>
      <c r="AV51" s="173">
        <v>4</v>
      </c>
    </row>
    <row r="52" spans="1:48" s="173" customFormat="1" ht="36" customHeight="1" x14ac:dyDescent="0.9">
      <c r="A52" s="173">
        <v>1</v>
      </c>
      <c r="B52" s="91">
        <f>SUBTOTAL(103,$A$16:A52)</f>
        <v>37</v>
      </c>
      <c r="C52" s="90" t="s">
        <v>526</v>
      </c>
      <c r="D52" s="185">
        <v>1989</v>
      </c>
      <c r="E52" s="185"/>
      <c r="F52" s="191" t="s">
        <v>273</v>
      </c>
      <c r="G52" s="185">
        <v>5</v>
      </c>
      <c r="H52" s="185">
        <v>4</v>
      </c>
      <c r="I52" s="189">
        <v>3501.4</v>
      </c>
      <c r="J52" s="189">
        <v>2634.9</v>
      </c>
      <c r="K52" s="189">
        <v>2634.9</v>
      </c>
      <c r="L52" s="187">
        <v>131</v>
      </c>
      <c r="M52" s="185" t="s">
        <v>271</v>
      </c>
      <c r="N52" s="185" t="s">
        <v>275</v>
      </c>
      <c r="O52" s="188" t="s">
        <v>1426</v>
      </c>
      <c r="P52" s="189">
        <v>2398202</v>
      </c>
      <c r="Q52" s="189">
        <v>0</v>
      </c>
      <c r="R52" s="189">
        <v>0</v>
      </c>
      <c r="S52" s="189">
        <f t="shared" si="4"/>
        <v>2398202</v>
      </c>
      <c r="T52" s="189">
        <f t="shared" si="0"/>
        <v>684.92660078825611</v>
      </c>
      <c r="U52" s="189">
        <f t="shared" si="9"/>
        <v>1284.0491803278687</v>
      </c>
      <c r="V52" s="170">
        <f t="shared" si="5"/>
        <v>599.12257953961262</v>
      </c>
      <c r="W52" s="170"/>
      <c r="X52" s="170"/>
      <c r="Y52" s="173">
        <f t="shared" si="6"/>
        <v>1284.0491803278687</v>
      </c>
      <c r="AA52" s="173">
        <f t="shared" si="1"/>
        <v>861</v>
      </c>
      <c r="AC52" s="173" t="s">
        <v>537</v>
      </c>
      <c r="AD52" s="173">
        <v>1213.0999999999999</v>
      </c>
      <c r="AH52" s="173" t="e">
        <f t="shared" si="2"/>
        <v>#N/A</v>
      </c>
      <c r="AJ52" s="173" t="s">
        <v>391</v>
      </c>
      <c r="AK52" s="173">
        <v>8596</v>
      </c>
      <c r="AS52" s="173" t="e">
        <f t="shared" si="3"/>
        <v>#N/A</v>
      </c>
      <c r="AU52" s="173" t="s">
        <v>634</v>
      </c>
      <c r="AV52" s="173">
        <v>2</v>
      </c>
    </row>
    <row r="53" spans="1:48" s="173" customFormat="1" ht="36" customHeight="1" x14ac:dyDescent="0.9">
      <c r="A53" s="173">
        <v>1</v>
      </c>
      <c r="B53" s="91">
        <f>SUBTOTAL(103,$A$16:A53)</f>
        <v>38</v>
      </c>
      <c r="C53" s="90" t="s">
        <v>527</v>
      </c>
      <c r="D53" s="185">
        <v>1980</v>
      </c>
      <c r="E53" s="185"/>
      <c r="F53" s="191" t="s">
        <v>273</v>
      </c>
      <c r="G53" s="185">
        <v>5</v>
      </c>
      <c r="H53" s="185">
        <v>1</v>
      </c>
      <c r="I53" s="189">
        <v>1254.0999999999999</v>
      </c>
      <c r="J53" s="189">
        <v>1001.3</v>
      </c>
      <c r="K53" s="189">
        <v>1001.3</v>
      </c>
      <c r="L53" s="187">
        <v>42</v>
      </c>
      <c r="M53" s="185" t="s">
        <v>271</v>
      </c>
      <c r="N53" s="185" t="s">
        <v>275</v>
      </c>
      <c r="O53" s="188" t="s">
        <v>1426</v>
      </c>
      <c r="P53" s="189">
        <v>1104719.2799999998</v>
      </c>
      <c r="Q53" s="189">
        <v>0</v>
      </c>
      <c r="R53" s="189">
        <v>0</v>
      </c>
      <c r="S53" s="189">
        <f t="shared" si="4"/>
        <v>1104719.2799999998</v>
      </c>
      <c r="T53" s="189">
        <f t="shared" si="0"/>
        <v>880.88611753448674</v>
      </c>
      <c r="U53" s="189">
        <f t="shared" si="9"/>
        <v>1195.0056614305081</v>
      </c>
      <c r="V53" s="170">
        <f t="shared" si="5"/>
        <v>314.11954389602136</v>
      </c>
      <c r="W53" s="170"/>
      <c r="X53" s="170"/>
      <c r="Y53" s="173">
        <f t="shared" si="6"/>
        <v>1195.0056614305081</v>
      </c>
      <c r="AA53" s="173">
        <f t="shared" si="1"/>
        <v>287</v>
      </c>
      <c r="AC53" s="173" t="s">
        <v>538</v>
      </c>
      <c r="AD53" s="173">
        <v>565</v>
      </c>
      <c r="AH53" s="173" t="e">
        <f t="shared" si="2"/>
        <v>#N/A</v>
      </c>
      <c r="AJ53" s="173" t="s">
        <v>640</v>
      </c>
      <c r="AK53" s="173">
        <v>1978</v>
      </c>
      <c r="AS53" s="173" t="e">
        <f t="shared" si="3"/>
        <v>#N/A</v>
      </c>
      <c r="AU53" s="173" t="s">
        <v>643</v>
      </c>
      <c r="AV53" s="173">
        <v>2</v>
      </c>
    </row>
    <row r="54" spans="1:48" s="173" customFormat="1" ht="36" customHeight="1" x14ac:dyDescent="0.9">
      <c r="A54" s="173">
        <v>1</v>
      </c>
      <c r="B54" s="91">
        <f>SUBTOTAL(103,$A$16:A54)</f>
        <v>39</v>
      </c>
      <c r="C54" s="90" t="s">
        <v>528</v>
      </c>
      <c r="D54" s="185">
        <v>1981</v>
      </c>
      <c r="E54" s="185"/>
      <c r="F54" s="191" t="s">
        <v>319</v>
      </c>
      <c r="G54" s="185">
        <v>5</v>
      </c>
      <c r="H54" s="185">
        <v>8</v>
      </c>
      <c r="I54" s="189">
        <v>7968.9</v>
      </c>
      <c r="J54" s="189">
        <v>6120.8</v>
      </c>
      <c r="K54" s="189">
        <v>6120.8</v>
      </c>
      <c r="L54" s="187">
        <v>317</v>
      </c>
      <c r="M54" s="185" t="s">
        <v>271</v>
      </c>
      <c r="N54" s="185" t="s">
        <v>275</v>
      </c>
      <c r="O54" s="188" t="s">
        <v>1426</v>
      </c>
      <c r="P54" s="189">
        <v>3012798.38</v>
      </c>
      <c r="Q54" s="189">
        <v>0</v>
      </c>
      <c r="R54" s="189">
        <v>0</v>
      </c>
      <c r="S54" s="189">
        <f t="shared" si="4"/>
        <v>3012798.38</v>
      </c>
      <c r="T54" s="189">
        <f t="shared" si="0"/>
        <v>378.06954284782091</v>
      </c>
      <c r="U54" s="189">
        <f t="shared" si="9"/>
        <v>1156.5557354214509</v>
      </c>
      <c r="V54" s="170">
        <f t="shared" si="5"/>
        <v>778.48619257362998</v>
      </c>
      <c r="W54" s="170"/>
      <c r="X54" s="170"/>
      <c r="Y54" s="173">
        <f t="shared" si="6"/>
        <v>1156.5557354214509</v>
      </c>
      <c r="AA54" s="173">
        <f t="shared" si="1"/>
        <v>1765</v>
      </c>
      <c r="AC54" s="173" t="s">
        <v>1399</v>
      </c>
      <c r="AD54" s="173">
        <v>330</v>
      </c>
      <c r="AH54" s="173" t="e">
        <f t="shared" si="2"/>
        <v>#N/A</v>
      </c>
      <c r="AJ54" s="173" t="s">
        <v>1208</v>
      </c>
      <c r="AK54" s="173">
        <v>795.9</v>
      </c>
      <c r="AS54" s="173" t="e">
        <f t="shared" si="3"/>
        <v>#N/A</v>
      </c>
      <c r="AU54" s="173" t="s">
        <v>650</v>
      </c>
      <c r="AV54" s="173">
        <v>1</v>
      </c>
    </row>
    <row r="55" spans="1:48" s="173" customFormat="1" ht="36" customHeight="1" x14ac:dyDescent="0.9">
      <c r="A55" s="173">
        <v>1</v>
      </c>
      <c r="B55" s="91">
        <f>SUBTOTAL(103,$A$16:A55)</f>
        <v>40</v>
      </c>
      <c r="C55" s="90" t="s">
        <v>529</v>
      </c>
      <c r="D55" s="185">
        <v>1993</v>
      </c>
      <c r="E55" s="185"/>
      <c r="F55" s="191" t="s">
        <v>319</v>
      </c>
      <c r="G55" s="185">
        <v>5</v>
      </c>
      <c r="H55" s="185">
        <v>5</v>
      </c>
      <c r="I55" s="189">
        <v>7577.6</v>
      </c>
      <c r="J55" s="189">
        <v>5722.2</v>
      </c>
      <c r="K55" s="189">
        <v>5722</v>
      </c>
      <c r="L55" s="187">
        <v>260</v>
      </c>
      <c r="M55" s="185" t="s">
        <v>271</v>
      </c>
      <c r="N55" s="185" t="s">
        <v>275</v>
      </c>
      <c r="O55" s="188" t="s">
        <v>1426</v>
      </c>
      <c r="P55" s="189">
        <v>4726303.2699999996</v>
      </c>
      <c r="Q55" s="189">
        <v>0</v>
      </c>
      <c r="R55" s="189">
        <v>0</v>
      </c>
      <c r="S55" s="189">
        <f t="shared" si="4"/>
        <v>4726303.2699999996</v>
      </c>
      <c r="T55" s="189">
        <f t="shared" si="0"/>
        <v>623.72034285261816</v>
      </c>
      <c r="U55" s="189">
        <f t="shared" si="9"/>
        <v>1402.3388671875</v>
      </c>
      <c r="V55" s="170">
        <f t="shared" si="5"/>
        <v>778.61852433488184</v>
      </c>
      <c r="W55" s="170"/>
      <c r="X55" s="170"/>
      <c r="Y55" s="173">
        <f t="shared" si="6"/>
        <v>1402.3388671875</v>
      </c>
      <c r="AA55" s="173">
        <f t="shared" si="1"/>
        <v>2035</v>
      </c>
      <c r="AC55" s="173" t="s">
        <v>1401</v>
      </c>
      <c r="AD55" s="173">
        <v>903.1</v>
      </c>
      <c r="AH55" s="173" t="e">
        <f t="shared" si="2"/>
        <v>#N/A</v>
      </c>
      <c r="AJ55" s="173" t="s">
        <v>671</v>
      </c>
      <c r="AK55" s="173">
        <v>470.68</v>
      </c>
      <c r="AS55" s="173" t="e">
        <f t="shared" si="3"/>
        <v>#N/A</v>
      </c>
      <c r="AU55" s="173" t="s">
        <v>681</v>
      </c>
      <c r="AV55" s="173">
        <v>2</v>
      </c>
    </row>
    <row r="56" spans="1:48" s="173" customFormat="1" ht="36" customHeight="1" x14ac:dyDescent="0.9">
      <c r="A56" s="173">
        <v>1</v>
      </c>
      <c r="B56" s="91">
        <f>SUBTOTAL(103,$A$16:A56)</f>
        <v>41</v>
      </c>
      <c r="C56" s="90" t="s">
        <v>530</v>
      </c>
      <c r="D56" s="185">
        <v>1986</v>
      </c>
      <c r="E56" s="185"/>
      <c r="F56" s="191" t="s">
        <v>273</v>
      </c>
      <c r="G56" s="185">
        <v>5</v>
      </c>
      <c r="H56" s="185">
        <v>4</v>
      </c>
      <c r="I56" s="189">
        <v>3600.3</v>
      </c>
      <c r="J56" s="189">
        <v>2714.2</v>
      </c>
      <c r="K56" s="189">
        <v>2714.2</v>
      </c>
      <c r="L56" s="187">
        <v>137</v>
      </c>
      <c r="M56" s="185" t="s">
        <v>271</v>
      </c>
      <c r="N56" s="185" t="s">
        <v>275</v>
      </c>
      <c r="O56" s="188" t="s">
        <v>1426</v>
      </c>
      <c r="P56" s="189">
        <v>2888341.13</v>
      </c>
      <c r="Q56" s="189">
        <v>0</v>
      </c>
      <c r="R56" s="189">
        <v>0</v>
      </c>
      <c r="S56" s="189">
        <f t="shared" si="4"/>
        <v>2888341.13</v>
      </c>
      <c r="T56" s="189">
        <f t="shared" si="0"/>
        <v>802.25012637835732</v>
      </c>
      <c r="U56" s="189">
        <f t="shared" si="9"/>
        <v>1331.4480459961669</v>
      </c>
      <c r="V56" s="170">
        <f t="shared" si="5"/>
        <v>529.19791961780959</v>
      </c>
      <c r="W56" s="170"/>
      <c r="X56" s="170"/>
      <c r="Y56" s="173">
        <f t="shared" si="6"/>
        <v>1331.4480459961669</v>
      </c>
      <c r="AA56" s="173">
        <f t="shared" si="1"/>
        <v>918</v>
      </c>
      <c r="AC56" s="173" t="s">
        <v>1124</v>
      </c>
      <c r="AD56" s="173">
        <v>1118</v>
      </c>
      <c r="AH56" s="173" t="e">
        <f t="shared" si="2"/>
        <v>#N/A</v>
      </c>
      <c r="AJ56" s="173" t="s">
        <v>1225</v>
      </c>
      <c r="AK56" s="173">
        <v>3461.25</v>
      </c>
      <c r="AS56" s="173" t="e">
        <f t="shared" si="3"/>
        <v>#N/A</v>
      </c>
      <c r="AU56" s="173" t="s">
        <v>1233</v>
      </c>
      <c r="AV56" s="173">
        <v>4</v>
      </c>
    </row>
    <row r="57" spans="1:48" s="173" customFormat="1" ht="36" customHeight="1" x14ac:dyDescent="0.9">
      <c r="A57" s="173">
        <v>1</v>
      </c>
      <c r="B57" s="91">
        <f>SUBTOTAL(103,$A$16:A57)</f>
        <v>42</v>
      </c>
      <c r="C57" s="90" t="s">
        <v>531</v>
      </c>
      <c r="D57" s="185">
        <v>1988</v>
      </c>
      <c r="E57" s="185"/>
      <c r="F57" s="191" t="s">
        <v>319</v>
      </c>
      <c r="G57" s="185">
        <v>5</v>
      </c>
      <c r="H57" s="185">
        <v>5</v>
      </c>
      <c r="I57" s="189">
        <v>5202.1000000000004</v>
      </c>
      <c r="J57" s="189">
        <v>3872.5</v>
      </c>
      <c r="K57" s="189">
        <v>3697</v>
      </c>
      <c r="L57" s="187">
        <v>193</v>
      </c>
      <c r="M57" s="185" t="s">
        <v>271</v>
      </c>
      <c r="N57" s="185" t="s">
        <v>275</v>
      </c>
      <c r="O57" s="188" t="s">
        <v>1116</v>
      </c>
      <c r="P57" s="189">
        <v>4187098.32</v>
      </c>
      <c r="Q57" s="189">
        <v>0</v>
      </c>
      <c r="R57" s="189">
        <v>0</v>
      </c>
      <c r="S57" s="189">
        <f t="shared" si="4"/>
        <v>4187098.32</v>
      </c>
      <c r="T57" s="189">
        <f t="shared" si="0"/>
        <v>804.88616520251423</v>
      </c>
      <c r="U57" s="189">
        <f t="shared" si="9"/>
        <v>1048.9573441494781</v>
      </c>
      <c r="V57" s="170">
        <f t="shared" si="5"/>
        <v>244.07117894696387</v>
      </c>
      <c r="W57" s="170"/>
      <c r="X57" s="170"/>
      <c r="Y57" s="173">
        <f t="shared" si="6"/>
        <v>1048.9573441494781</v>
      </c>
      <c r="AA57" s="173">
        <f t="shared" si="1"/>
        <v>1045</v>
      </c>
      <c r="AC57" s="173" t="s">
        <v>1125</v>
      </c>
      <c r="AD57" s="173">
        <v>375.1</v>
      </c>
      <c r="AH57" s="173" t="e">
        <f t="shared" si="2"/>
        <v>#N/A</v>
      </c>
      <c r="AJ57" s="173" t="s">
        <v>713</v>
      </c>
      <c r="AK57" s="173">
        <v>607.29999999999995</v>
      </c>
      <c r="AS57" s="173" t="e">
        <f t="shared" si="3"/>
        <v>#N/A</v>
      </c>
      <c r="AU57" s="173" t="s">
        <v>543</v>
      </c>
      <c r="AV57" s="173">
        <v>1</v>
      </c>
    </row>
    <row r="58" spans="1:48" s="173" customFormat="1" ht="36" customHeight="1" x14ac:dyDescent="0.9">
      <c r="A58" s="173">
        <v>1</v>
      </c>
      <c r="B58" s="91">
        <f>SUBTOTAL(103,$A$16:A58)</f>
        <v>43</v>
      </c>
      <c r="C58" s="90" t="s">
        <v>532</v>
      </c>
      <c r="D58" s="185">
        <v>1987</v>
      </c>
      <c r="E58" s="185"/>
      <c r="F58" s="191" t="s">
        <v>319</v>
      </c>
      <c r="G58" s="185">
        <v>5</v>
      </c>
      <c r="H58" s="185">
        <v>3</v>
      </c>
      <c r="I58" s="189">
        <v>3164.6</v>
      </c>
      <c r="J58" s="189">
        <v>2306.6999999999998</v>
      </c>
      <c r="K58" s="189">
        <v>2254.6</v>
      </c>
      <c r="L58" s="187">
        <v>96</v>
      </c>
      <c r="M58" s="185" t="s">
        <v>271</v>
      </c>
      <c r="N58" s="185" t="s">
        <v>275</v>
      </c>
      <c r="O58" s="188" t="s">
        <v>1116</v>
      </c>
      <c r="P58" s="189">
        <v>2693319.61</v>
      </c>
      <c r="Q58" s="189">
        <v>0</v>
      </c>
      <c r="R58" s="189">
        <v>0</v>
      </c>
      <c r="S58" s="189">
        <f t="shared" si="4"/>
        <v>2693319.61</v>
      </c>
      <c r="T58" s="189">
        <f t="shared" si="0"/>
        <v>851.07742210705931</v>
      </c>
      <c r="U58" s="189">
        <f t="shared" si="9"/>
        <v>1034.5916071541428</v>
      </c>
      <c r="V58" s="170">
        <f t="shared" si="5"/>
        <v>183.51418504708352</v>
      </c>
      <c r="W58" s="170"/>
      <c r="X58" s="170"/>
      <c r="Y58" s="173">
        <f t="shared" si="6"/>
        <v>1034.5916071541428</v>
      </c>
      <c r="AA58" s="173">
        <f t="shared" si="1"/>
        <v>627</v>
      </c>
      <c r="AC58" s="173" t="s">
        <v>1126</v>
      </c>
      <c r="AD58" s="173">
        <v>912.27</v>
      </c>
      <c r="AH58" s="173" t="e">
        <f t="shared" si="2"/>
        <v>#N/A</v>
      </c>
      <c r="AJ58" s="173" t="s">
        <v>1229</v>
      </c>
      <c r="AK58" s="173">
        <v>647.20000000000005</v>
      </c>
      <c r="AS58" s="173" t="e">
        <f t="shared" si="3"/>
        <v>#N/A</v>
      </c>
      <c r="AU58" s="173" t="s">
        <v>544</v>
      </c>
      <c r="AV58" s="173">
        <v>1</v>
      </c>
    </row>
    <row r="59" spans="1:48" s="173" customFormat="1" ht="36" customHeight="1" x14ac:dyDescent="0.9">
      <c r="A59" s="173">
        <v>1</v>
      </c>
      <c r="B59" s="91">
        <f>SUBTOTAL(103,$A$16:A59)</f>
        <v>44</v>
      </c>
      <c r="C59" s="90" t="s">
        <v>533</v>
      </c>
      <c r="D59" s="185">
        <v>1952</v>
      </c>
      <c r="E59" s="185"/>
      <c r="F59" s="191" t="s">
        <v>273</v>
      </c>
      <c r="G59" s="185">
        <v>2</v>
      </c>
      <c r="H59" s="185">
        <v>2</v>
      </c>
      <c r="I59" s="189">
        <v>796</v>
      </c>
      <c r="J59" s="189">
        <v>723.4</v>
      </c>
      <c r="K59" s="189">
        <v>571.67999999999995</v>
      </c>
      <c r="L59" s="187">
        <v>47</v>
      </c>
      <c r="M59" s="185" t="s">
        <v>271</v>
      </c>
      <c r="N59" s="185" t="s">
        <v>275</v>
      </c>
      <c r="O59" s="188" t="s">
        <v>1410</v>
      </c>
      <c r="P59" s="189">
        <v>2298174.4700000002</v>
      </c>
      <c r="Q59" s="189">
        <v>0</v>
      </c>
      <c r="R59" s="189">
        <v>0</v>
      </c>
      <c r="S59" s="189">
        <f t="shared" si="4"/>
        <v>2298174.4700000002</v>
      </c>
      <c r="T59" s="189">
        <f t="shared" si="0"/>
        <v>2887.1538567839198</v>
      </c>
      <c r="U59" s="189">
        <f t="shared" si="9"/>
        <v>3778.1953417085433</v>
      </c>
      <c r="V59" s="170">
        <f t="shared" si="5"/>
        <v>891.04148492462355</v>
      </c>
      <c r="W59" s="170"/>
      <c r="X59" s="170"/>
      <c r="Y59" s="173">
        <f t="shared" si="6"/>
        <v>3778.1953417085433</v>
      </c>
      <c r="AA59" s="173">
        <f t="shared" si="1"/>
        <v>575.94000000000005</v>
      </c>
      <c r="AC59" s="173" t="s">
        <v>1129</v>
      </c>
      <c r="AD59" s="173">
        <v>970</v>
      </c>
      <c r="AH59" s="173" t="e">
        <f t="shared" si="2"/>
        <v>#N/A</v>
      </c>
      <c r="AJ59" s="173" t="s">
        <v>1230</v>
      </c>
      <c r="AK59" s="173">
        <v>652.70000000000005</v>
      </c>
      <c r="AS59" s="173" t="e">
        <f t="shared" si="3"/>
        <v>#N/A</v>
      </c>
      <c r="AU59" s="173" t="s">
        <v>1403</v>
      </c>
      <c r="AV59" s="173">
        <v>6</v>
      </c>
    </row>
    <row r="60" spans="1:48" s="173" customFormat="1" ht="36" customHeight="1" x14ac:dyDescent="0.9">
      <c r="A60" s="173">
        <v>1</v>
      </c>
      <c r="B60" s="91">
        <f>SUBTOTAL(103,$A$16:A60)</f>
        <v>45</v>
      </c>
      <c r="C60" s="90" t="s">
        <v>534</v>
      </c>
      <c r="D60" s="185">
        <v>1989</v>
      </c>
      <c r="E60" s="185"/>
      <c r="F60" s="191" t="s">
        <v>319</v>
      </c>
      <c r="G60" s="185">
        <v>5</v>
      </c>
      <c r="H60" s="185">
        <v>4</v>
      </c>
      <c r="I60" s="189">
        <v>4185.3</v>
      </c>
      <c r="J60" s="189">
        <v>3109.7</v>
      </c>
      <c r="K60" s="189">
        <v>3039.3</v>
      </c>
      <c r="L60" s="187">
        <v>144</v>
      </c>
      <c r="M60" s="185" t="s">
        <v>271</v>
      </c>
      <c r="N60" s="185" t="s">
        <v>275</v>
      </c>
      <c r="O60" s="188" t="s">
        <v>1116</v>
      </c>
      <c r="P60" s="189">
        <v>3382151.3</v>
      </c>
      <c r="Q60" s="189">
        <v>0</v>
      </c>
      <c r="R60" s="189">
        <v>0</v>
      </c>
      <c r="S60" s="189">
        <f t="shared" si="4"/>
        <v>3382151.3</v>
      </c>
      <c r="T60" s="189">
        <f t="shared" si="0"/>
        <v>808.1024777196377</v>
      </c>
      <c r="U60" s="189">
        <f t="shared" si="9"/>
        <v>1046.780445846176</v>
      </c>
      <c r="V60" s="170">
        <f t="shared" si="5"/>
        <v>238.6779681265383</v>
      </c>
      <c r="W60" s="170"/>
      <c r="X60" s="170"/>
      <c r="Y60" s="173">
        <f t="shared" si="6"/>
        <v>1046.780445846176</v>
      </c>
      <c r="AA60" s="173">
        <f t="shared" si="1"/>
        <v>839</v>
      </c>
      <c r="AC60" s="173" t="s">
        <v>1130</v>
      </c>
      <c r="AD60" s="173">
        <v>1013.6</v>
      </c>
      <c r="AH60" s="173" t="e">
        <f t="shared" si="2"/>
        <v>#N/A</v>
      </c>
      <c r="AJ60" s="173" t="s">
        <v>678</v>
      </c>
      <c r="AK60" s="173">
        <v>719.43</v>
      </c>
      <c r="AS60" s="173" t="e">
        <f t="shared" si="3"/>
        <v>#N/A</v>
      </c>
      <c r="AU60" s="173" t="s">
        <v>558</v>
      </c>
      <c r="AV60" s="173">
        <v>1</v>
      </c>
    </row>
    <row r="61" spans="1:48" s="173" customFormat="1" ht="36" customHeight="1" x14ac:dyDescent="0.9">
      <c r="A61" s="173">
        <v>1</v>
      </c>
      <c r="B61" s="91">
        <f>SUBTOTAL(103,$A$16:A61)</f>
        <v>46</v>
      </c>
      <c r="C61" s="90" t="s">
        <v>535</v>
      </c>
      <c r="D61" s="185">
        <v>1958</v>
      </c>
      <c r="E61" s="185"/>
      <c r="F61" s="191" t="s">
        <v>273</v>
      </c>
      <c r="G61" s="185">
        <v>3</v>
      </c>
      <c r="H61" s="185">
        <v>2</v>
      </c>
      <c r="I61" s="189">
        <v>1891.9</v>
      </c>
      <c r="J61" s="189">
        <v>1802.9</v>
      </c>
      <c r="K61" s="189">
        <v>1802.9</v>
      </c>
      <c r="L61" s="187">
        <v>64</v>
      </c>
      <c r="M61" s="185" t="s">
        <v>271</v>
      </c>
      <c r="N61" s="185" t="s">
        <v>275</v>
      </c>
      <c r="O61" s="188" t="s">
        <v>1425</v>
      </c>
      <c r="P61" s="189">
        <v>4414109.6800000006</v>
      </c>
      <c r="Q61" s="189">
        <v>0</v>
      </c>
      <c r="R61" s="189">
        <v>0</v>
      </c>
      <c r="S61" s="189">
        <f t="shared" si="4"/>
        <v>4414109.6800000006</v>
      </c>
      <c r="T61" s="189">
        <f t="shared" si="0"/>
        <v>2333.1622601617423</v>
      </c>
      <c r="U61" s="189">
        <f t="shared" si="9"/>
        <v>2939.4878164807865</v>
      </c>
      <c r="V61" s="170">
        <f t="shared" si="5"/>
        <v>606.32555631904415</v>
      </c>
      <c r="W61" s="170"/>
      <c r="X61" s="170"/>
      <c r="Y61" s="173">
        <f t="shared" si="6"/>
        <v>2939.4878164807865</v>
      </c>
      <c r="AA61" s="173">
        <f t="shared" si="1"/>
        <v>1065</v>
      </c>
      <c r="AC61" s="173" t="s">
        <v>1131</v>
      </c>
      <c r="AD61" s="173">
        <v>717</v>
      </c>
      <c r="AH61" s="173" t="e">
        <f t="shared" si="2"/>
        <v>#N/A</v>
      </c>
      <c r="AJ61" s="173" t="s">
        <v>1234</v>
      </c>
      <c r="AK61" s="173">
        <v>415.14</v>
      </c>
      <c r="AS61" s="173" t="e">
        <f t="shared" si="3"/>
        <v>#N/A</v>
      </c>
      <c r="AU61" s="173" t="s">
        <v>1115</v>
      </c>
      <c r="AV61" s="173">
        <v>4</v>
      </c>
    </row>
    <row r="62" spans="1:48" s="173" customFormat="1" ht="36" customHeight="1" x14ac:dyDescent="0.9">
      <c r="A62" s="173">
        <v>1</v>
      </c>
      <c r="B62" s="91">
        <f>SUBTOTAL(103,$A$16:A62)</f>
        <v>47</v>
      </c>
      <c r="C62" s="90" t="s">
        <v>536</v>
      </c>
      <c r="D62" s="185">
        <v>1997</v>
      </c>
      <c r="E62" s="185"/>
      <c r="F62" s="191" t="s">
        <v>273</v>
      </c>
      <c r="G62" s="185">
        <v>4</v>
      </c>
      <c r="H62" s="185">
        <v>3</v>
      </c>
      <c r="I62" s="189">
        <v>2862.3</v>
      </c>
      <c r="J62" s="189">
        <v>2037.4</v>
      </c>
      <c r="K62" s="189">
        <v>2037.4</v>
      </c>
      <c r="L62" s="187">
        <v>98</v>
      </c>
      <c r="M62" s="185" t="s">
        <v>271</v>
      </c>
      <c r="N62" s="185" t="s">
        <v>275</v>
      </c>
      <c r="O62" s="188" t="s">
        <v>1426</v>
      </c>
      <c r="P62" s="189">
        <v>2862107</v>
      </c>
      <c r="Q62" s="189">
        <v>0</v>
      </c>
      <c r="R62" s="189">
        <v>0</v>
      </c>
      <c r="S62" s="189">
        <f t="shared" si="4"/>
        <v>2862107</v>
      </c>
      <c r="T62" s="189">
        <f t="shared" si="0"/>
        <v>999.93257170806692</v>
      </c>
      <c r="U62" s="189">
        <f t="shared" si="9"/>
        <v>1601.7679488523215</v>
      </c>
      <c r="V62" s="170">
        <f t="shared" si="5"/>
        <v>601.83537714425461</v>
      </c>
      <c r="W62" s="170"/>
      <c r="X62" s="170"/>
      <c r="Y62" s="173">
        <f t="shared" si="6"/>
        <v>1601.7679488523215</v>
      </c>
      <c r="AA62" s="173">
        <f t="shared" si="1"/>
        <v>878</v>
      </c>
      <c r="AC62" s="173" t="s">
        <v>1134</v>
      </c>
      <c r="AD62" s="173">
        <v>934.1</v>
      </c>
      <c r="AH62" s="173" t="e">
        <f t="shared" si="2"/>
        <v>#N/A</v>
      </c>
      <c r="AJ62" s="173" t="s">
        <v>1235</v>
      </c>
      <c r="AK62" s="173">
        <v>390.67</v>
      </c>
      <c r="AS62" s="173" t="e">
        <f t="shared" si="3"/>
        <v>#N/A</v>
      </c>
      <c r="AU62" s="173" t="s">
        <v>566</v>
      </c>
      <c r="AV62" s="173">
        <v>1</v>
      </c>
    </row>
    <row r="63" spans="1:48" s="173" customFormat="1" ht="36" customHeight="1" x14ac:dyDescent="0.9">
      <c r="A63" s="173">
        <v>1</v>
      </c>
      <c r="B63" s="91">
        <f>SUBTOTAL(103,$A$16:A63)</f>
        <v>48</v>
      </c>
      <c r="C63" s="90" t="s">
        <v>537</v>
      </c>
      <c r="D63" s="185">
        <v>1995</v>
      </c>
      <c r="E63" s="185"/>
      <c r="F63" s="191" t="s">
        <v>319</v>
      </c>
      <c r="G63" s="185" t="s">
        <v>358</v>
      </c>
      <c r="H63" s="185">
        <v>4</v>
      </c>
      <c r="I63" s="189">
        <v>8497.7000000000007</v>
      </c>
      <c r="J63" s="189">
        <v>6287.1</v>
      </c>
      <c r="K63" s="189">
        <v>5664.6</v>
      </c>
      <c r="L63" s="187">
        <v>206</v>
      </c>
      <c r="M63" s="185" t="s">
        <v>271</v>
      </c>
      <c r="N63" s="185" t="s">
        <v>275</v>
      </c>
      <c r="O63" s="188" t="s">
        <v>1116</v>
      </c>
      <c r="P63" s="189">
        <v>3491771.3</v>
      </c>
      <c r="Q63" s="189">
        <v>0</v>
      </c>
      <c r="R63" s="189">
        <v>0</v>
      </c>
      <c r="S63" s="189">
        <f t="shared" si="4"/>
        <v>3491771.3</v>
      </c>
      <c r="T63" s="189">
        <f t="shared" si="0"/>
        <v>410.90781034868252</v>
      </c>
      <c r="U63" s="189">
        <f t="shared" si="9"/>
        <v>745.44471798251288</v>
      </c>
      <c r="V63" s="170">
        <f t="shared" si="5"/>
        <v>334.53690763383037</v>
      </c>
      <c r="W63" s="170"/>
      <c r="X63" s="170"/>
      <c r="Y63" s="173">
        <f t="shared" si="6"/>
        <v>745.44471798251288</v>
      </c>
      <c r="AA63" s="173">
        <f t="shared" si="1"/>
        <v>1213.0999999999999</v>
      </c>
      <c r="AC63" s="173" t="s">
        <v>1136</v>
      </c>
      <c r="AD63" s="173">
        <v>1554.3</v>
      </c>
      <c r="AH63" s="173" t="e">
        <f t="shared" si="2"/>
        <v>#N/A</v>
      </c>
      <c r="AJ63" s="173" t="s">
        <v>238</v>
      </c>
      <c r="AK63" s="173">
        <v>449.8</v>
      </c>
      <c r="AS63" s="173" t="e">
        <f t="shared" si="3"/>
        <v>#N/A</v>
      </c>
      <c r="AU63" s="173" t="s">
        <v>412</v>
      </c>
      <c r="AV63" s="173">
        <v>1</v>
      </c>
    </row>
    <row r="64" spans="1:48" s="173" customFormat="1" ht="36" customHeight="1" x14ac:dyDescent="0.9">
      <c r="A64" s="173">
        <v>1</v>
      </c>
      <c r="B64" s="91">
        <f>SUBTOTAL(103,$A$16:A64)</f>
        <v>49</v>
      </c>
      <c r="C64" s="90" t="s">
        <v>538</v>
      </c>
      <c r="D64" s="185">
        <v>1988</v>
      </c>
      <c r="E64" s="185"/>
      <c r="F64" s="191" t="s">
        <v>273</v>
      </c>
      <c r="G64" s="185">
        <v>2</v>
      </c>
      <c r="H64" s="185">
        <v>2</v>
      </c>
      <c r="I64" s="189">
        <v>1063.8</v>
      </c>
      <c r="J64" s="189">
        <v>570.29999999999995</v>
      </c>
      <c r="K64" s="189">
        <v>570.29999999999995</v>
      </c>
      <c r="L64" s="187">
        <v>36</v>
      </c>
      <c r="M64" s="185" t="s">
        <v>271</v>
      </c>
      <c r="N64" s="185" t="s">
        <v>275</v>
      </c>
      <c r="O64" s="188" t="s">
        <v>1426</v>
      </c>
      <c r="P64" s="189">
        <v>2347677.0299999998</v>
      </c>
      <c r="Q64" s="189">
        <v>0</v>
      </c>
      <c r="R64" s="189">
        <v>0</v>
      </c>
      <c r="S64" s="189">
        <f t="shared" si="4"/>
        <v>2347677.0299999998</v>
      </c>
      <c r="T64" s="189">
        <f t="shared" si="0"/>
        <v>2206.878200789622</v>
      </c>
      <c r="U64" s="189">
        <f t="shared" si="9"/>
        <v>2773.3756345177667</v>
      </c>
      <c r="V64" s="170">
        <f t="shared" si="5"/>
        <v>566.49743372814464</v>
      </c>
      <c r="W64" s="170"/>
      <c r="X64" s="170"/>
      <c r="Y64" s="173">
        <f t="shared" si="6"/>
        <v>2773.3756345177667</v>
      </c>
      <c r="AA64" s="173">
        <f t="shared" si="1"/>
        <v>565</v>
      </c>
      <c r="AC64" s="173" t="s">
        <v>1137</v>
      </c>
      <c r="AD64" s="173">
        <v>450</v>
      </c>
      <c r="AH64" s="173" t="e">
        <f t="shared" si="2"/>
        <v>#N/A</v>
      </c>
      <c r="AJ64" s="173" t="s">
        <v>1239</v>
      </c>
      <c r="AK64" s="173">
        <v>677.5</v>
      </c>
      <c r="AS64" s="173" t="e">
        <f t="shared" si="3"/>
        <v>#N/A</v>
      </c>
      <c r="AU64" s="173" t="s">
        <v>799</v>
      </c>
      <c r="AV64" s="173">
        <v>3</v>
      </c>
    </row>
    <row r="65" spans="1:48" s="173" customFormat="1" ht="36" customHeight="1" x14ac:dyDescent="0.9">
      <c r="A65" s="173">
        <v>1</v>
      </c>
      <c r="B65" s="91">
        <f>SUBTOTAL(103,$A$16:A65)</f>
        <v>50</v>
      </c>
      <c r="C65" s="90" t="s">
        <v>1399</v>
      </c>
      <c r="D65" s="185">
        <v>1971</v>
      </c>
      <c r="E65" s="185"/>
      <c r="F65" s="191" t="s">
        <v>273</v>
      </c>
      <c r="G65" s="185">
        <v>9</v>
      </c>
      <c r="H65" s="185">
        <v>1</v>
      </c>
      <c r="I65" s="189">
        <v>1902</v>
      </c>
      <c r="J65" s="189">
        <v>1902</v>
      </c>
      <c r="K65" s="189">
        <v>1785.6</v>
      </c>
      <c r="L65" s="187">
        <v>135</v>
      </c>
      <c r="M65" s="185" t="s">
        <v>271</v>
      </c>
      <c r="N65" s="185" t="s">
        <v>275</v>
      </c>
      <c r="O65" s="188" t="s">
        <v>1101</v>
      </c>
      <c r="P65" s="189">
        <v>706857.57000000007</v>
      </c>
      <c r="Q65" s="189">
        <v>0</v>
      </c>
      <c r="R65" s="189">
        <v>0</v>
      </c>
      <c r="S65" s="189">
        <f t="shared" si="4"/>
        <v>706857.57000000007</v>
      </c>
      <c r="T65" s="189">
        <f t="shared" si="0"/>
        <v>371.63910094637225</v>
      </c>
      <c r="U65" s="189">
        <f t="shared" si="9"/>
        <v>905.99053627760247</v>
      </c>
      <c r="V65" s="170">
        <f t="shared" si="5"/>
        <v>534.35143533123028</v>
      </c>
      <c r="W65" s="170"/>
      <c r="X65" s="170"/>
      <c r="Y65" s="173">
        <f t="shared" si="6"/>
        <v>905.99053627760247</v>
      </c>
      <c r="AA65" s="173">
        <f t="shared" si="1"/>
        <v>330</v>
      </c>
      <c r="AC65" s="173" t="s">
        <v>1138</v>
      </c>
      <c r="AD65" s="173">
        <v>450</v>
      </c>
      <c r="AH65" s="173" t="e">
        <f t="shared" si="2"/>
        <v>#N/A</v>
      </c>
      <c r="AJ65" s="173" t="s">
        <v>1241</v>
      </c>
      <c r="AK65" s="173">
        <v>766.41</v>
      </c>
      <c r="AS65" s="173" t="e">
        <f t="shared" si="3"/>
        <v>#N/A</v>
      </c>
      <c r="AU65" s="173" t="s">
        <v>800</v>
      </c>
      <c r="AV65" s="173">
        <v>4</v>
      </c>
    </row>
    <row r="66" spans="1:48" s="173" customFormat="1" ht="36" customHeight="1" x14ac:dyDescent="0.9">
      <c r="A66" s="173">
        <v>1</v>
      </c>
      <c r="B66" s="91">
        <f>SUBTOTAL(103,$A$16:A66)</f>
        <v>51</v>
      </c>
      <c r="C66" s="90" t="s">
        <v>1401</v>
      </c>
      <c r="D66" s="185">
        <v>1963</v>
      </c>
      <c r="E66" s="185"/>
      <c r="F66" s="191" t="s">
        <v>273</v>
      </c>
      <c r="G66" s="185">
        <v>5</v>
      </c>
      <c r="H66" s="185">
        <v>3</v>
      </c>
      <c r="I66" s="189">
        <v>2525.6</v>
      </c>
      <c r="J66" s="189">
        <v>1560.2</v>
      </c>
      <c r="K66" s="189">
        <v>1560.2</v>
      </c>
      <c r="L66" s="187">
        <v>130</v>
      </c>
      <c r="M66" s="185" t="s">
        <v>271</v>
      </c>
      <c r="N66" s="185" t="s">
        <v>275</v>
      </c>
      <c r="O66" s="188" t="s">
        <v>1413</v>
      </c>
      <c r="P66" s="189">
        <v>4183123.2600000002</v>
      </c>
      <c r="Q66" s="189">
        <v>0</v>
      </c>
      <c r="R66" s="189">
        <v>0</v>
      </c>
      <c r="S66" s="189">
        <f t="shared" si="4"/>
        <v>4183123.2600000002</v>
      </c>
      <c r="T66" s="189">
        <f t="shared" si="0"/>
        <v>1656.2889056065887</v>
      </c>
      <c r="U66" s="189">
        <f t="shared" si="9"/>
        <v>1867.20287456446</v>
      </c>
      <c r="V66" s="170">
        <f t="shared" si="5"/>
        <v>210.91396895787125</v>
      </c>
      <c r="W66" s="170"/>
      <c r="X66" s="170"/>
      <c r="Y66" s="173">
        <f t="shared" si="6"/>
        <v>1867.20287456446</v>
      </c>
      <c r="AA66" s="173">
        <f t="shared" si="1"/>
        <v>903.1</v>
      </c>
      <c r="AC66" s="173" t="s">
        <v>1139</v>
      </c>
      <c r="AD66" s="173">
        <v>450</v>
      </c>
      <c r="AH66" s="173" t="e">
        <f t="shared" si="2"/>
        <v>#N/A</v>
      </c>
      <c r="AJ66" s="173" t="s">
        <v>1242</v>
      </c>
      <c r="AK66" s="173">
        <v>798.07</v>
      </c>
      <c r="AS66" s="173" t="e">
        <f t="shared" si="3"/>
        <v>#N/A</v>
      </c>
      <c r="AU66" s="173" t="s">
        <v>802</v>
      </c>
      <c r="AV66" s="173">
        <v>2</v>
      </c>
    </row>
    <row r="67" spans="1:48" s="173" customFormat="1" ht="36" customHeight="1" x14ac:dyDescent="0.9">
      <c r="A67" s="173">
        <v>1</v>
      </c>
      <c r="B67" s="91">
        <f>SUBTOTAL(103,$A$16:A67)</f>
        <v>52</v>
      </c>
      <c r="C67" s="90" t="s">
        <v>1402</v>
      </c>
      <c r="D67" s="185">
        <v>1960</v>
      </c>
      <c r="E67" s="185"/>
      <c r="F67" s="191" t="s">
        <v>273</v>
      </c>
      <c r="G67" s="185">
        <v>2</v>
      </c>
      <c r="H67" s="185">
        <v>2</v>
      </c>
      <c r="I67" s="189">
        <v>662.9</v>
      </c>
      <c r="J67" s="189">
        <v>622.9</v>
      </c>
      <c r="K67" s="189">
        <v>622.9</v>
      </c>
      <c r="L67" s="187">
        <v>40</v>
      </c>
      <c r="M67" s="185" t="s">
        <v>271</v>
      </c>
      <c r="N67" s="185" t="s">
        <v>275</v>
      </c>
      <c r="O67" s="188" t="s">
        <v>1351</v>
      </c>
      <c r="P67" s="189">
        <v>2030000</v>
      </c>
      <c r="Q67" s="189">
        <v>0</v>
      </c>
      <c r="R67" s="189">
        <v>0</v>
      </c>
      <c r="S67" s="189">
        <f t="shared" si="4"/>
        <v>2030000</v>
      </c>
      <c r="T67" s="189">
        <f t="shared" si="0"/>
        <v>3062.3020063357972</v>
      </c>
      <c r="U67" s="189">
        <f>AG67</f>
        <v>5883.1192101460911</v>
      </c>
      <c r="V67" s="170">
        <f t="shared" si="5"/>
        <v>2820.8172038102939</v>
      </c>
      <c r="W67" s="170"/>
      <c r="X67" s="170"/>
      <c r="Y67" s="173" t="e">
        <f t="shared" si="6"/>
        <v>#N/A</v>
      </c>
      <c r="AA67" s="173" t="e">
        <f t="shared" si="1"/>
        <v>#N/A</v>
      </c>
      <c r="AC67" s="173" t="s">
        <v>1150</v>
      </c>
      <c r="AD67" s="173">
        <v>900.3</v>
      </c>
      <c r="AG67" s="173">
        <f>AH67*6191.24/J67</f>
        <v>5883.1192101460911</v>
      </c>
      <c r="AH67" s="173">
        <f t="shared" si="2"/>
        <v>591.9</v>
      </c>
      <c r="AJ67" s="173" t="s">
        <v>1629</v>
      </c>
      <c r="AK67" s="173">
        <v>377.9</v>
      </c>
      <c r="AS67" s="173" t="e">
        <f t="shared" si="3"/>
        <v>#N/A</v>
      </c>
      <c r="AU67" s="173" t="s">
        <v>804</v>
      </c>
      <c r="AV67" s="173">
        <v>2</v>
      </c>
    </row>
    <row r="68" spans="1:48" s="173" customFormat="1" ht="36" customHeight="1" x14ac:dyDescent="0.9">
      <c r="A68" s="173">
        <v>1</v>
      </c>
      <c r="B68" s="91">
        <f>SUBTOTAL(103,$A$16:A68)</f>
        <v>53</v>
      </c>
      <c r="C68" s="90" t="s">
        <v>1121</v>
      </c>
      <c r="D68" s="185">
        <v>1991</v>
      </c>
      <c r="E68" s="185"/>
      <c r="F68" s="191" t="s">
        <v>319</v>
      </c>
      <c r="G68" s="185">
        <v>9</v>
      </c>
      <c r="H68" s="185">
        <v>3</v>
      </c>
      <c r="I68" s="189">
        <v>6815.3</v>
      </c>
      <c r="J68" s="189">
        <v>6295.6</v>
      </c>
      <c r="K68" s="189">
        <v>5711.2</v>
      </c>
      <c r="L68" s="187">
        <v>251</v>
      </c>
      <c r="M68" s="185" t="s">
        <v>271</v>
      </c>
      <c r="N68" s="185" t="s">
        <v>275</v>
      </c>
      <c r="O68" s="188" t="s">
        <v>1412</v>
      </c>
      <c r="P68" s="189">
        <v>4195168.8</v>
      </c>
      <c r="Q68" s="189">
        <v>0</v>
      </c>
      <c r="R68" s="189">
        <v>0</v>
      </c>
      <c r="S68" s="189">
        <f t="shared" si="4"/>
        <v>4195168.8</v>
      </c>
      <c r="T68" s="189">
        <f t="shared" si="0"/>
        <v>615.55159714172521</v>
      </c>
      <c r="U68" s="189">
        <f>AR68</f>
        <v>971.67241354012299</v>
      </c>
      <c r="V68" s="170">
        <f t="shared" si="5"/>
        <v>356.12081639839778</v>
      </c>
      <c r="W68" s="170"/>
      <c r="X68" s="170"/>
      <c r="Y68" s="173" t="e">
        <f t="shared" si="6"/>
        <v>#N/A</v>
      </c>
      <c r="AA68" s="173" t="e">
        <f t="shared" si="1"/>
        <v>#N/A</v>
      </c>
      <c r="AC68" s="173" t="s">
        <v>1155</v>
      </c>
      <c r="AD68" s="173">
        <v>624.25</v>
      </c>
      <c r="AH68" s="173" t="e">
        <f t="shared" si="2"/>
        <v>#N/A</v>
      </c>
      <c r="AJ68" s="173" t="s">
        <v>249</v>
      </c>
      <c r="AK68" s="173">
        <v>369.1</v>
      </c>
      <c r="AR68" s="173">
        <f>AS68*2207413/I68</f>
        <v>971.67241354012299</v>
      </c>
      <c r="AS68" s="173">
        <f t="shared" si="3"/>
        <v>3</v>
      </c>
      <c r="AU68" s="173" t="s">
        <v>805</v>
      </c>
      <c r="AV68" s="173">
        <v>1</v>
      </c>
    </row>
    <row r="69" spans="1:48" s="173" customFormat="1" ht="36" customHeight="1" x14ac:dyDescent="0.9">
      <c r="A69" s="173">
        <v>1</v>
      </c>
      <c r="B69" s="91">
        <f>SUBTOTAL(103,$A$16:A69)</f>
        <v>54</v>
      </c>
      <c r="C69" s="90" t="s">
        <v>1122</v>
      </c>
      <c r="D69" s="185">
        <v>1956</v>
      </c>
      <c r="E69" s="185"/>
      <c r="F69" s="191" t="s">
        <v>273</v>
      </c>
      <c r="G69" s="185">
        <v>5</v>
      </c>
      <c r="H69" s="185">
        <v>6</v>
      </c>
      <c r="I69" s="189">
        <v>6143.7</v>
      </c>
      <c r="J69" s="189">
        <v>5611.8</v>
      </c>
      <c r="K69" s="189">
        <v>4995.2</v>
      </c>
      <c r="L69" s="187">
        <v>163</v>
      </c>
      <c r="M69" s="185" t="s">
        <v>271</v>
      </c>
      <c r="N69" s="185" t="s">
        <v>349</v>
      </c>
      <c r="O69" s="188" t="s">
        <v>1684</v>
      </c>
      <c r="P69" s="189">
        <v>12534252.41</v>
      </c>
      <c r="Q69" s="189">
        <v>0</v>
      </c>
      <c r="R69" s="189">
        <v>0</v>
      </c>
      <c r="S69" s="189">
        <f t="shared" si="4"/>
        <v>12534252.41</v>
      </c>
      <c r="T69" s="189">
        <f t="shared" si="0"/>
        <v>2040.1797630092617</v>
      </c>
      <c r="U69" s="189">
        <f>AG69</f>
        <v>6386.1077289283303</v>
      </c>
      <c r="V69" s="170">
        <f t="shared" si="5"/>
        <v>4345.9279659190688</v>
      </c>
      <c r="W69" s="170"/>
      <c r="X69" s="170"/>
      <c r="Y69" s="173" t="e">
        <f t="shared" si="6"/>
        <v>#N/A</v>
      </c>
      <c r="AA69" s="173" t="e">
        <f t="shared" si="1"/>
        <v>#N/A</v>
      </c>
      <c r="AC69" s="173" t="s">
        <v>1158</v>
      </c>
      <c r="AD69" s="173">
        <v>1151.2</v>
      </c>
      <c r="AG69" s="173">
        <f>AH69*6191.24/J69</f>
        <v>6386.1077289283303</v>
      </c>
      <c r="AH69" s="173">
        <f t="shared" si="2"/>
        <v>5788.43</v>
      </c>
      <c r="AJ69" s="173" t="s">
        <v>246</v>
      </c>
      <c r="AK69" s="173">
        <v>490.6</v>
      </c>
      <c r="AS69" s="173" t="e">
        <f t="shared" si="3"/>
        <v>#N/A</v>
      </c>
      <c r="AU69" s="173" t="s">
        <v>392</v>
      </c>
      <c r="AV69" s="173">
        <v>4</v>
      </c>
    </row>
    <row r="70" spans="1:48" s="173" customFormat="1" ht="36" customHeight="1" x14ac:dyDescent="0.9">
      <c r="A70" s="173">
        <v>1</v>
      </c>
      <c r="B70" s="91">
        <f>SUBTOTAL(103,$A$16:A70)</f>
        <v>55</v>
      </c>
      <c r="C70" s="90" t="s">
        <v>1123</v>
      </c>
      <c r="D70" s="185">
        <v>1959</v>
      </c>
      <c r="E70" s="185"/>
      <c r="F70" s="191" t="s">
        <v>273</v>
      </c>
      <c r="G70" s="185">
        <v>5</v>
      </c>
      <c r="H70" s="185">
        <v>4</v>
      </c>
      <c r="I70" s="189">
        <v>6876.6</v>
      </c>
      <c r="J70" s="189">
        <v>5622.29</v>
      </c>
      <c r="K70" s="189">
        <v>5003.59</v>
      </c>
      <c r="L70" s="187">
        <v>154</v>
      </c>
      <c r="M70" s="185" t="s">
        <v>271</v>
      </c>
      <c r="N70" s="185" t="s">
        <v>275</v>
      </c>
      <c r="O70" s="188" t="s">
        <v>1410</v>
      </c>
      <c r="P70" s="189">
        <v>7710494.8799999999</v>
      </c>
      <c r="Q70" s="189">
        <v>0</v>
      </c>
      <c r="R70" s="189">
        <v>0</v>
      </c>
      <c r="S70" s="189">
        <f t="shared" si="4"/>
        <v>7710494.8799999999</v>
      </c>
      <c r="T70" s="189">
        <f t="shared" si="0"/>
        <v>1121.265578919815</v>
      </c>
      <c r="U70" s="189">
        <f>AG70</f>
        <v>4241.9809505379471</v>
      </c>
      <c r="V70" s="170">
        <f t="shared" si="5"/>
        <v>3120.7153716181319</v>
      </c>
      <c r="W70" s="170"/>
      <c r="X70" s="170"/>
      <c r="Y70" s="173" t="e">
        <f t="shared" si="6"/>
        <v>#N/A</v>
      </c>
      <c r="AA70" s="173" t="e">
        <f t="shared" si="1"/>
        <v>#N/A</v>
      </c>
      <c r="AC70" s="173" t="s">
        <v>1590</v>
      </c>
      <c r="AD70" s="173">
        <v>484</v>
      </c>
      <c r="AG70" s="173">
        <f>AH70*6191.24/J70</f>
        <v>4241.9809505379471</v>
      </c>
      <c r="AH70" s="173">
        <f t="shared" si="2"/>
        <v>3852.16</v>
      </c>
      <c r="AJ70" s="173" t="s">
        <v>1245</v>
      </c>
      <c r="AK70" s="173">
        <v>658.14</v>
      </c>
      <c r="AS70" s="173" t="e">
        <f t="shared" si="3"/>
        <v>#N/A</v>
      </c>
      <c r="AU70" s="173" t="s">
        <v>646</v>
      </c>
      <c r="AV70" s="173">
        <v>1</v>
      </c>
    </row>
    <row r="71" spans="1:48" s="173" customFormat="1" ht="36" customHeight="1" x14ac:dyDescent="0.9">
      <c r="A71" s="173">
        <v>1</v>
      </c>
      <c r="B71" s="91">
        <f>SUBTOTAL(103,$A$16:A71)</f>
        <v>56</v>
      </c>
      <c r="C71" s="90" t="s">
        <v>1124</v>
      </c>
      <c r="D71" s="185">
        <v>1974</v>
      </c>
      <c r="E71" s="185"/>
      <c r="F71" s="191" t="s">
        <v>273</v>
      </c>
      <c r="G71" s="185">
        <v>5</v>
      </c>
      <c r="H71" s="185">
        <v>4</v>
      </c>
      <c r="I71" s="189">
        <v>4917</v>
      </c>
      <c r="J71" s="189">
        <v>4801.3</v>
      </c>
      <c r="K71" s="189">
        <v>4321.2</v>
      </c>
      <c r="L71" s="187">
        <v>125</v>
      </c>
      <c r="M71" s="185" t="s">
        <v>271</v>
      </c>
      <c r="N71" s="185" t="s">
        <v>275</v>
      </c>
      <c r="O71" s="188" t="s">
        <v>1100</v>
      </c>
      <c r="P71" s="189">
        <v>2451551.34</v>
      </c>
      <c r="Q71" s="189">
        <v>0</v>
      </c>
      <c r="R71" s="189">
        <v>0</v>
      </c>
      <c r="S71" s="189">
        <f t="shared" si="4"/>
        <v>2451551.34</v>
      </c>
      <c r="T71" s="189">
        <f t="shared" si="0"/>
        <v>498.58680902989624</v>
      </c>
      <c r="U71" s="189">
        <f>Y71</f>
        <v>1187.3037217815743</v>
      </c>
      <c r="V71" s="170">
        <f t="shared" si="5"/>
        <v>688.71691275167802</v>
      </c>
      <c r="W71" s="170"/>
      <c r="X71" s="170"/>
      <c r="Y71" s="173">
        <f t="shared" si="6"/>
        <v>1187.3037217815743</v>
      </c>
      <c r="AA71" s="173">
        <f t="shared" si="1"/>
        <v>1118</v>
      </c>
      <c r="AC71" s="173" t="s">
        <v>1586</v>
      </c>
      <c r="AD71" s="173">
        <v>900</v>
      </c>
      <c r="AH71" s="173" t="e">
        <f t="shared" si="2"/>
        <v>#N/A</v>
      </c>
      <c r="AJ71" s="173" t="s">
        <v>1246</v>
      </c>
      <c r="AK71" s="173">
        <v>497</v>
      </c>
      <c r="AS71" s="173" t="e">
        <f t="shared" si="3"/>
        <v>#N/A</v>
      </c>
      <c r="AU71" s="173" t="s">
        <v>601</v>
      </c>
      <c r="AV71" s="173">
        <v>1</v>
      </c>
    </row>
    <row r="72" spans="1:48" s="173" customFormat="1" ht="36" customHeight="1" x14ac:dyDescent="0.9">
      <c r="A72" s="173">
        <v>1</v>
      </c>
      <c r="B72" s="91">
        <f>SUBTOTAL(103,$A$16:A72)</f>
        <v>57</v>
      </c>
      <c r="C72" s="90" t="s">
        <v>1125</v>
      </c>
      <c r="D72" s="185">
        <v>1972</v>
      </c>
      <c r="E72" s="185"/>
      <c r="F72" s="191" t="s">
        <v>273</v>
      </c>
      <c r="G72" s="185">
        <v>4</v>
      </c>
      <c r="H72" s="185">
        <v>1</v>
      </c>
      <c r="I72" s="189">
        <v>772</v>
      </c>
      <c r="J72" s="189">
        <v>596</v>
      </c>
      <c r="K72" s="189">
        <v>375</v>
      </c>
      <c r="L72" s="187">
        <v>26</v>
      </c>
      <c r="M72" s="185" t="s">
        <v>271</v>
      </c>
      <c r="N72" s="185" t="s">
        <v>275</v>
      </c>
      <c r="O72" s="188" t="s">
        <v>1413</v>
      </c>
      <c r="P72" s="189">
        <v>1186477.9099999999</v>
      </c>
      <c r="Q72" s="189">
        <v>0</v>
      </c>
      <c r="R72" s="189">
        <v>0</v>
      </c>
      <c r="S72" s="189">
        <f t="shared" si="4"/>
        <v>1186477.9099999999</v>
      </c>
      <c r="T72" s="189">
        <f t="shared" si="0"/>
        <v>1536.8884844559584</v>
      </c>
      <c r="U72" s="189">
        <f>Y72</f>
        <v>2537.1725129533679</v>
      </c>
      <c r="V72" s="170">
        <f t="shared" si="5"/>
        <v>1000.2840284974095</v>
      </c>
      <c r="W72" s="170"/>
      <c r="X72" s="170"/>
      <c r="Y72" s="173">
        <f t="shared" si="6"/>
        <v>2537.1725129533679</v>
      </c>
      <c r="AA72" s="173">
        <f t="shared" si="1"/>
        <v>375.1</v>
      </c>
      <c r="AC72" s="173" t="s">
        <v>1589</v>
      </c>
      <c r="AD72" s="173">
        <v>1004.3</v>
      </c>
      <c r="AH72" s="173" t="e">
        <f t="shared" si="2"/>
        <v>#N/A</v>
      </c>
      <c r="AJ72" s="173" t="s">
        <v>820</v>
      </c>
      <c r="AK72" s="173">
        <v>605</v>
      </c>
      <c r="AS72" s="173" t="e">
        <f t="shared" si="3"/>
        <v>#N/A</v>
      </c>
      <c r="AU72" s="173" t="s">
        <v>507</v>
      </c>
      <c r="AV72" s="173">
        <v>1</v>
      </c>
    </row>
    <row r="73" spans="1:48" s="173" customFormat="1" ht="36" customHeight="1" x14ac:dyDescent="0.9">
      <c r="A73" s="173">
        <v>1</v>
      </c>
      <c r="B73" s="91">
        <f>SUBTOTAL(103,$A$16:A73)</f>
        <v>58</v>
      </c>
      <c r="C73" s="90" t="s">
        <v>1126</v>
      </c>
      <c r="D73" s="185">
        <v>1975</v>
      </c>
      <c r="E73" s="185"/>
      <c r="F73" s="191" t="s">
        <v>273</v>
      </c>
      <c r="G73" s="185">
        <v>5</v>
      </c>
      <c r="H73" s="185">
        <v>3</v>
      </c>
      <c r="I73" s="189">
        <v>2962.8</v>
      </c>
      <c r="J73" s="189">
        <v>2688.5</v>
      </c>
      <c r="K73" s="189">
        <v>2688.5</v>
      </c>
      <c r="L73" s="187">
        <v>96</v>
      </c>
      <c r="M73" s="185" t="s">
        <v>271</v>
      </c>
      <c r="N73" s="185" t="s">
        <v>275</v>
      </c>
      <c r="O73" s="188" t="s">
        <v>1351</v>
      </c>
      <c r="P73" s="189">
        <v>3306287.7600000002</v>
      </c>
      <c r="Q73" s="189">
        <v>0</v>
      </c>
      <c r="R73" s="189">
        <v>0</v>
      </c>
      <c r="S73" s="189">
        <f t="shared" si="4"/>
        <v>3306287.7600000002</v>
      </c>
      <c r="T73" s="189">
        <f t="shared" si="0"/>
        <v>1115.9334953422438</v>
      </c>
      <c r="U73" s="189">
        <f>Y73</f>
        <v>1607.8343074119077</v>
      </c>
      <c r="V73" s="170">
        <f t="shared" si="5"/>
        <v>491.90081206966397</v>
      </c>
      <c r="W73" s="170"/>
      <c r="X73" s="170"/>
      <c r="Y73" s="173">
        <f t="shared" si="6"/>
        <v>1607.8343074119077</v>
      </c>
      <c r="AA73" s="173">
        <f t="shared" si="1"/>
        <v>912.27</v>
      </c>
      <c r="AC73" s="173" t="s">
        <v>1585</v>
      </c>
      <c r="AD73" s="173">
        <v>1057</v>
      </c>
      <c r="AH73" s="173" t="e">
        <f t="shared" si="2"/>
        <v>#N/A</v>
      </c>
      <c r="AJ73" s="173" t="s">
        <v>1250</v>
      </c>
      <c r="AK73" s="173">
        <v>3424.15</v>
      </c>
      <c r="AS73" s="173" t="e">
        <f t="shared" si="3"/>
        <v>#N/A</v>
      </c>
      <c r="AU73" s="173" t="s">
        <v>1095</v>
      </c>
      <c r="AV73" s="173">
        <v>3</v>
      </c>
    </row>
    <row r="74" spans="1:48" s="173" customFormat="1" ht="36" customHeight="1" x14ac:dyDescent="0.9">
      <c r="A74" s="173">
        <v>1</v>
      </c>
      <c r="B74" s="91">
        <f>SUBTOTAL(103,$A$16:A74)</f>
        <v>59</v>
      </c>
      <c r="C74" s="90" t="s">
        <v>1127</v>
      </c>
      <c r="D74" s="185">
        <v>1974</v>
      </c>
      <c r="E74" s="185"/>
      <c r="F74" s="191" t="s">
        <v>273</v>
      </c>
      <c r="G74" s="185">
        <v>6</v>
      </c>
      <c r="H74" s="185">
        <v>1</v>
      </c>
      <c r="I74" s="189">
        <v>938.4</v>
      </c>
      <c r="J74" s="189">
        <v>865.7</v>
      </c>
      <c r="K74" s="189">
        <v>563.9</v>
      </c>
      <c r="L74" s="187">
        <v>22</v>
      </c>
      <c r="M74" s="185" t="s">
        <v>271</v>
      </c>
      <c r="N74" s="185" t="s">
        <v>275</v>
      </c>
      <c r="O74" s="188" t="s">
        <v>1412</v>
      </c>
      <c r="P74" s="189">
        <v>4301356.74</v>
      </c>
      <c r="Q74" s="189">
        <v>0</v>
      </c>
      <c r="R74" s="189">
        <v>0</v>
      </c>
      <c r="S74" s="189">
        <f t="shared" si="4"/>
        <v>4301356.74</v>
      </c>
      <c r="T74" s="189">
        <f t="shared" si="0"/>
        <v>4583.7134910485938</v>
      </c>
      <c r="U74" s="189">
        <f>AG74</f>
        <v>8091.4507750952989</v>
      </c>
      <c r="V74" s="170">
        <f t="shared" si="5"/>
        <v>3507.7372840467051</v>
      </c>
      <c r="W74" s="170"/>
      <c r="X74" s="170"/>
      <c r="Y74" s="173" t="e">
        <f t="shared" si="6"/>
        <v>#N/A</v>
      </c>
      <c r="AA74" s="173" t="e">
        <f t="shared" si="1"/>
        <v>#N/A</v>
      </c>
      <c r="AC74" s="173" t="s">
        <v>1575</v>
      </c>
      <c r="AD74" s="173">
        <v>336</v>
      </c>
      <c r="AG74" s="173">
        <f>AH74*6191.24/J74</f>
        <v>8091.4507750952989</v>
      </c>
      <c r="AH74" s="173">
        <f t="shared" si="2"/>
        <v>1131.4000000000001</v>
      </c>
      <c r="AJ74" s="173" t="s">
        <v>122</v>
      </c>
      <c r="AK74" s="173">
        <v>366.6</v>
      </c>
      <c r="AS74" s="173" t="e">
        <f t="shared" si="3"/>
        <v>#N/A</v>
      </c>
      <c r="AU74" s="173" t="s">
        <v>442</v>
      </c>
      <c r="AV74" s="173">
        <v>2</v>
      </c>
    </row>
    <row r="75" spans="1:48" s="173" customFormat="1" ht="36" customHeight="1" x14ac:dyDescent="0.9">
      <c r="A75" s="173">
        <v>1</v>
      </c>
      <c r="B75" s="91">
        <f>SUBTOTAL(103,$A$16:A75)</f>
        <v>60</v>
      </c>
      <c r="C75" s="90" t="s">
        <v>1128</v>
      </c>
      <c r="D75" s="185">
        <v>1971</v>
      </c>
      <c r="E75" s="185"/>
      <c r="F75" s="191" t="s">
        <v>273</v>
      </c>
      <c r="G75" s="185">
        <v>5</v>
      </c>
      <c r="H75" s="185">
        <v>4</v>
      </c>
      <c r="I75" s="189">
        <v>4188.1000000000004</v>
      </c>
      <c r="J75" s="189">
        <v>3145.2</v>
      </c>
      <c r="K75" s="189">
        <v>3047.4</v>
      </c>
      <c r="L75" s="187">
        <v>153</v>
      </c>
      <c r="M75" s="185" t="s">
        <v>271</v>
      </c>
      <c r="N75" s="185" t="s">
        <v>275</v>
      </c>
      <c r="O75" s="188" t="s">
        <v>1685</v>
      </c>
      <c r="P75" s="189">
        <v>4195078.42</v>
      </c>
      <c r="Q75" s="189">
        <v>0</v>
      </c>
      <c r="R75" s="189">
        <v>0</v>
      </c>
      <c r="S75" s="189">
        <f t="shared" si="4"/>
        <v>4195078.42</v>
      </c>
      <c r="T75" s="189">
        <f t="shared" si="0"/>
        <v>1001.6662496119958</v>
      </c>
      <c r="U75" s="189">
        <v>2937.373116580311</v>
      </c>
      <c r="V75" s="170">
        <f t="shared" si="5"/>
        <v>1935.7068669683154</v>
      </c>
      <c r="W75" s="170"/>
      <c r="X75" s="170"/>
      <c r="Y75" s="173" t="e">
        <f t="shared" si="6"/>
        <v>#N/A</v>
      </c>
      <c r="AA75" s="173" t="e">
        <f t="shared" si="1"/>
        <v>#N/A</v>
      </c>
      <c r="AC75" s="173" t="s">
        <v>1587</v>
      </c>
      <c r="AD75" s="173">
        <v>1500</v>
      </c>
      <c r="AH75" s="173" t="e">
        <f t="shared" si="2"/>
        <v>#N/A</v>
      </c>
      <c r="AJ75" s="173" t="s">
        <v>175</v>
      </c>
      <c r="AK75" s="173">
        <v>336</v>
      </c>
      <c r="AS75" s="173" t="e">
        <f t="shared" si="3"/>
        <v>#N/A</v>
      </c>
      <c r="AU75" s="173" t="s">
        <v>449</v>
      </c>
      <c r="AV75" s="173">
        <v>2</v>
      </c>
    </row>
    <row r="76" spans="1:48" s="173" customFormat="1" ht="36" customHeight="1" x14ac:dyDescent="0.9">
      <c r="A76" s="173">
        <v>1</v>
      </c>
      <c r="B76" s="91">
        <f>SUBTOTAL(103,$A$16:A76)</f>
        <v>61</v>
      </c>
      <c r="C76" s="90" t="s">
        <v>1129</v>
      </c>
      <c r="D76" s="185">
        <v>1969</v>
      </c>
      <c r="E76" s="185"/>
      <c r="F76" s="191" t="s">
        <v>273</v>
      </c>
      <c r="G76" s="185">
        <v>5</v>
      </c>
      <c r="H76" s="185">
        <v>4</v>
      </c>
      <c r="I76" s="189">
        <v>4279.8</v>
      </c>
      <c r="J76" s="189">
        <v>3264.2</v>
      </c>
      <c r="K76" s="189">
        <v>3174.6</v>
      </c>
      <c r="L76" s="187">
        <v>136</v>
      </c>
      <c r="M76" s="185" t="s">
        <v>271</v>
      </c>
      <c r="N76" s="185" t="s">
        <v>275</v>
      </c>
      <c r="O76" s="188" t="s">
        <v>1686</v>
      </c>
      <c r="P76" s="189">
        <v>3366145.45</v>
      </c>
      <c r="Q76" s="189">
        <v>0</v>
      </c>
      <c r="R76" s="189">
        <v>0</v>
      </c>
      <c r="S76" s="189">
        <f t="shared" si="4"/>
        <v>3366145.45</v>
      </c>
      <c r="T76" s="189">
        <f t="shared" si="0"/>
        <v>786.51933501565497</v>
      </c>
      <c r="U76" s="189">
        <f>Y76</f>
        <v>1183.5006308706013</v>
      </c>
      <c r="V76" s="170">
        <f t="shared" si="5"/>
        <v>396.98129585494632</v>
      </c>
      <c r="W76" s="170"/>
      <c r="X76" s="170"/>
      <c r="Y76" s="173">
        <f t="shared" si="6"/>
        <v>1183.5006308706013</v>
      </c>
      <c r="AA76" s="173">
        <f t="shared" si="1"/>
        <v>970</v>
      </c>
      <c r="AC76" s="173" t="s">
        <v>1588</v>
      </c>
      <c r="AD76" s="173">
        <v>1928</v>
      </c>
      <c r="AH76" s="173" t="e">
        <f t="shared" si="2"/>
        <v>#N/A</v>
      </c>
      <c r="AJ76" s="173" t="s">
        <v>186</v>
      </c>
      <c r="AK76" s="173">
        <v>403.2</v>
      </c>
      <c r="AS76" s="173" t="e">
        <f t="shared" si="3"/>
        <v>#N/A</v>
      </c>
      <c r="AU76" s="173" t="s">
        <v>839</v>
      </c>
      <c r="AV76" s="173">
        <v>3</v>
      </c>
    </row>
    <row r="77" spans="1:48" s="173" customFormat="1" ht="36" customHeight="1" x14ac:dyDescent="0.9">
      <c r="A77" s="173">
        <v>1</v>
      </c>
      <c r="B77" s="91">
        <f>SUBTOTAL(103,$A$16:A77)</f>
        <v>62</v>
      </c>
      <c r="C77" s="90" t="s">
        <v>1130</v>
      </c>
      <c r="D77" s="185">
        <v>1968</v>
      </c>
      <c r="E77" s="185"/>
      <c r="F77" s="191" t="s">
        <v>319</v>
      </c>
      <c r="G77" s="185">
        <v>5</v>
      </c>
      <c r="H77" s="185">
        <v>4</v>
      </c>
      <c r="I77" s="189">
        <v>3880.1</v>
      </c>
      <c r="J77" s="189">
        <v>3555.2</v>
      </c>
      <c r="K77" s="189">
        <v>3380.5</v>
      </c>
      <c r="L77" s="187">
        <v>167</v>
      </c>
      <c r="M77" s="185" t="s">
        <v>271</v>
      </c>
      <c r="N77" s="185" t="s">
        <v>275</v>
      </c>
      <c r="O77" s="188" t="s">
        <v>1100</v>
      </c>
      <c r="P77" s="189">
        <v>4374326.75</v>
      </c>
      <c r="Q77" s="189">
        <v>0</v>
      </c>
      <c r="R77" s="189">
        <v>0</v>
      </c>
      <c r="S77" s="189">
        <f t="shared" si="4"/>
        <v>4374326.75</v>
      </c>
      <c r="T77" s="189">
        <f t="shared" si="0"/>
        <v>1127.3747454962502</v>
      </c>
      <c r="U77" s="189">
        <f>Y77</f>
        <v>1364.0928017319143</v>
      </c>
      <c r="V77" s="170">
        <f t="shared" si="5"/>
        <v>236.71805623566411</v>
      </c>
      <c r="W77" s="170"/>
      <c r="X77" s="170"/>
      <c r="Y77" s="173">
        <f t="shared" si="6"/>
        <v>1364.0928017319143</v>
      </c>
      <c r="AA77" s="173">
        <f t="shared" si="1"/>
        <v>1013.6</v>
      </c>
      <c r="AC77" s="173" t="s">
        <v>1576</v>
      </c>
      <c r="AD77" s="173">
        <v>385</v>
      </c>
      <c r="AH77" s="173" t="e">
        <f t="shared" si="2"/>
        <v>#N/A</v>
      </c>
      <c r="AJ77" s="173" t="s">
        <v>1257</v>
      </c>
      <c r="AK77" s="173">
        <v>518.4</v>
      </c>
      <c r="AS77" s="173" t="e">
        <f t="shared" si="3"/>
        <v>#N/A</v>
      </c>
      <c r="AU77" s="173" t="s">
        <v>810</v>
      </c>
      <c r="AV77" s="173">
        <v>4</v>
      </c>
    </row>
    <row r="78" spans="1:48" s="173" customFormat="1" ht="36" customHeight="1" x14ac:dyDescent="0.9">
      <c r="A78" s="173">
        <v>1</v>
      </c>
      <c r="B78" s="91">
        <f>SUBTOTAL(103,$A$16:A78)</f>
        <v>63</v>
      </c>
      <c r="C78" s="90" t="s">
        <v>1131</v>
      </c>
      <c r="D78" s="185">
        <v>1968</v>
      </c>
      <c r="E78" s="185"/>
      <c r="F78" s="191" t="s">
        <v>319</v>
      </c>
      <c r="G78" s="185">
        <v>5</v>
      </c>
      <c r="H78" s="185">
        <v>3</v>
      </c>
      <c r="I78" s="189">
        <v>2807.5</v>
      </c>
      <c r="J78" s="189">
        <v>2603.5</v>
      </c>
      <c r="K78" s="189">
        <v>2603.5</v>
      </c>
      <c r="L78" s="187">
        <v>114</v>
      </c>
      <c r="M78" s="185" t="s">
        <v>271</v>
      </c>
      <c r="N78" s="185" t="s">
        <v>275</v>
      </c>
      <c r="O78" s="188" t="s">
        <v>1100</v>
      </c>
      <c r="P78" s="189">
        <v>2994194.1500000004</v>
      </c>
      <c r="Q78" s="189">
        <v>0</v>
      </c>
      <c r="R78" s="189">
        <v>0</v>
      </c>
      <c r="S78" s="189">
        <f t="shared" si="4"/>
        <v>2994194.1500000004</v>
      </c>
      <c r="T78" s="189">
        <f t="shared" ref="T78:T141" si="10">P78/I78</f>
        <v>1066.4983615316119</v>
      </c>
      <c r="U78" s="189">
        <f>Y78</f>
        <v>1333.5816918967053</v>
      </c>
      <c r="V78" s="170">
        <f t="shared" si="5"/>
        <v>267.08333036509339</v>
      </c>
      <c r="W78" s="170"/>
      <c r="X78" s="170"/>
      <c r="Y78" s="173">
        <f t="shared" si="6"/>
        <v>1333.5816918967053</v>
      </c>
      <c r="AA78" s="173">
        <f t="shared" si="1"/>
        <v>717</v>
      </c>
      <c r="AC78" s="173" t="s">
        <v>1630</v>
      </c>
      <c r="AD78" s="173">
        <v>356</v>
      </c>
      <c r="AH78" s="173" t="e">
        <f t="shared" si="2"/>
        <v>#N/A</v>
      </c>
      <c r="AJ78" s="173" t="s">
        <v>1260</v>
      </c>
      <c r="AK78" s="173">
        <v>702.56</v>
      </c>
      <c r="AS78" s="173" t="e">
        <f t="shared" si="3"/>
        <v>#N/A</v>
      </c>
      <c r="AU78" s="173" t="s">
        <v>679</v>
      </c>
      <c r="AV78" s="173">
        <v>2</v>
      </c>
    </row>
    <row r="79" spans="1:48" s="173" customFormat="1" ht="36" customHeight="1" x14ac:dyDescent="0.9">
      <c r="A79" s="173">
        <v>1</v>
      </c>
      <c r="B79" s="91">
        <f>SUBTOTAL(103,$A$16:A79)</f>
        <v>64</v>
      </c>
      <c r="C79" s="90" t="s">
        <v>1133</v>
      </c>
      <c r="D79" s="185">
        <v>1959</v>
      </c>
      <c r="E79" s="185"/>
      <c r="F79" s="191" t="s">
        <v>273</v>
      </c>
      <c r="G79" s="185">
        <v>3</v>
      </c>
      <c r="H79" s="185">
        <v>3</v>
      </c>
      <c r="I79" s="189">
        <v>1338.5</v>
      </c>
      <c r="J79" s="189">
        <v>1165.2</v>
      </c>
      <c r="K79" s="189">
        <v>1165.2</v>
      </c>
      <c r="L79" s="187">
        <v>41</v>
      </c>
      <c r="M79" s="185" t="s">
        <v>271</v>
      </c>
      <c r="N79" s="185" t="s">
        <v>275</v>
      </c>
      <c r="O79" s="188" t="s">
        <v>1351</v>
      </c>
      <c r="P79" s="189">
        <v>5678840</v>
      </c>
      <c r="Q79" s="189">
        <v>0</v>
      </c>
      <c r="R79" s="189">
        <v>0</v>
      </c>
      <c r="S79" s="189">
        <f t="shared" si="4"/>
        <v>5678840</v>
      </c>
      <c r="T79" s="189">
        <f t="shared" si="10"/>
        <v>4242.6895778856933</v>
      </c>
      <c r="U79" s="189">
        <f>AG79</f>
        <v>7137.0353312736006</v>
      </c>
      <c r="V79" s="170">
        <f t="shared" si="5"/>
        <v>2894.3457533879073</v>
      </c>
      <c r="W79" s="170"/>
      <c r="X79" s="170"/>
      <c r="Y79" s="173" t="e">
        <f t="shared" si="6"/>
        <v>#N/A</v>
      </c>
      <c r="AA79" s="173" t="e">
        <f t="shared" si="1"/>
        <v>#N/A</v>
      </c>
      <c r="AC79" s="173" t="s">
        <v>1632</v>
      </c>
      <c r="AD79" s="173">
        <v>1119</v>
      </c>
      <c r="AG79" s="173">
        <f>AH79*6191.24/J79</f>
        <v>7137.0353312736006</v>
      </c>
      <c r="AH79" s="173">
        <f t="shared" si="2"/>
        <v>1343.2</v>
      </c>
      <c r="AJ79" s="173" t="s">
        <v>1271</v>
      </c>
      <c r="AK79" s="173">
        <v>858.98</v>
      </c>
      <c r="AS79" s="173" t="e">
        <f t="shared" si="3"/>
        <v>#N/A</v>
      </c>
    </row>
    <row r="80" spans="1:48" s="173" customFormat="1" ht="36" customHeight="1" x14ac:dyDescent="0.9">
      <c r="A80" s="173">
        <v>1</v>
      </c>
      <c r="B80" s="91">
        <f>SUBTOTAL(103,$A$16:A80)</f>
        <v>65</v>
      </c>
      <c r="C80" s="90" t="s">
        <v>1134</v>
      </c>
      <c r="D80" s="185">
        <v>1974</v>
      </c>
      <c r="E80" s="185"/>
      <c r="F80" s="191" t="s">
        <v>319</v>
      </c>
      <c r="G80" s="185">
        <v>5</v>
      </c>
      <c r="H80" s="185">
        <v>5</v>
      </c>
      <c r="I80" s="189">
        <v>3386</v>
      </c>
      <c r="J80" s="189">
        <v>3284.4</v>
      </c>
      <c r="K80" s="189">
        <v>3120.2</v>
      </c>
      <c r="L80" s="187">
        <v>195</v>
      </c>
      <c r="M80" s="185" t="s">
        <v>271</v>
      </c>
      <c r="N80" s="185" t="s">
        <v>275</v>
      </c>
      <c r="O80" s="188" t="s">
        <v>1687</v>
      </c>
      <c r="P80" s="189">
        <v>1916160.69</v>
      </c>
      <c r="Q80" s="189">
        <v>0</v>
      </c>
      <c r="R80" s="189">
        <v>0</v>
      </c>
      <c r="S80" s="189">
        <f t="shared" si="4"/>
        <v>1916160.69</v>
      </c>
      <c r="T80" s="189">
        <f t="shared" si="10"/>
        <v>565.90687832250444</v>
      </c>
      <c r="U80" s="189">
        <f>Y80</f>
        <v>1440.544412285883</v>
      </c>
      <c r="V80" s="170">
        <f t="shared" si="5"/>
        <v>874.63753396337859</v>
      </c>
      <c r="W80" s="170"/>
      <c r="X80" s="170"/>
      <c r="Y80" s="173">
        <f t="shared" si="6"/>
        <v>1440.544412285883</v>
      </c>
      <c r="AA80" s="173">
        <f t="shared" ref="AA80:AA143" si="11">VLOOKUP(C80,AC:AE,2,FALSE)</f>
        <v>934.1</v>
      </c>
      <c r="AC80" s="173" t="s">
        <v>1634</v>
      </c>
      <c r="AD80" s="173">
        <v>707</v>
      </c>
      <c r="AH80" s="173" t="e">
        <f t="shared" ref="AH80:AH143" si="12">VLOOKUP(C80,AJ:AK,2,FALSE)</f>
        <v>#N/A</v>
      </c>
      <c r="AJ80" s="173" t="s">
        <v>1274</v>
      </c>
      <c r="AK80" s="173">
        <v>2886.45</v>
      </c>
      <c r="AS80" s="173" t="e">
        <f t="shared" ref="AS80:AS143" si="13">VLOOKUP(C80,AU:AV,2,FALSE)</f>
        <v>#N/A</v>
      </c>
    </row>
    <row r="81" spans="1:45" s="173" customFormat="1" ht="36" customHeight="1" x14ac:dyDescent="0.9">
      <c r="A81" s="173">
        <v>1</v>
      </c>
      <c r="B81" s="91">
        <f>SUBTOTAL(103,$A$16:A81)</f>
        <v>66</v>
      </c>
      <c r="C81" s="90" t="s">
        <v>1135</v>
      </c>
      <c r="D81" s="185">
        <v>1959</v>
      </c>
      <c r="E81" s="185"/>
      <c r="F81" s="191" t="s">
        <v>273</v>
      </c>
      <c r="G81" s="185">
        <v>2</v>
      </c>
      <c r="H81" s="185">
        <v>1</v>
      </c>
      <c r="I81" s="189">
        <v>445.1</v>
      </c>
      <c r="J81" s="189">
        <v>400.5</v>
      </c>
      <c r="K81" s="189">
        <v>201.2</v>
      </c>
      <c r="L81" s="187">
        <v>21</v>
      </c>
      <c r="M81" s="185" t="s">
        <v>271</v>
      </c>
      <c r="N81" s="185" t="s">
        <v>275</v>
      </c>
      <c r="O81" s="188" t="s">
        <v>1351</v>
      </c>
      <c r="P81" s="189">
        <v>2373191.6399999997</v>
      </c>
      <c r="Q81" s="189">
        <v>0</v>
      </c>
      <c r="R81" s="189">
        <v>0</v>
      </c>
      <c r="S81" s="189">
        <f t="shared" ref="S81:S114" si="14">P81-Q81-R81</f>
        <v>2373191.6399999997</v>
      </c>
      <c r="T81" s="189">
        <f t="shared" si="10"/>
        <v>5331.8167602785879</v>
      </c>
      <c r="U81" s="189">
        <f>AG81</f>
        <v>7644.364993757802</v>
      </c>
      <c r="V81" s="170">
        <f t="shared" ref="V81:V145" si="15">U81-T81</f>
        <v>2312.5482334792141</v>
      </c>
      <c r="W81" s="170"/>
      <c r="X81" s="170"/>
      <c r="Y81" s="173" t="e">
        <f t="shared" ref="Y81:Y145" si="16">AA81*5221.8/I81</f>
        <v>#N/A</v>
      </c>
      <c r="AA81" s="173" t="e">
        <f t="shared" si="11"/>
        <v>#N/A</v>
      </c>
      <c r="AC81" s="173" t="s">
        <v>1657</v>
      </c>
      <c r="AD81" s="173">
        <v>502</v>
      </c>
      <c r="AG81" s="173">
        <f>AH81*6191.24/J81</f>
        <v>7644.364993757802</v>
      </c>
      <c r="AH81" s="173">
        <f t="shared" si="12"/>
        <v>494.5</v>
      </c>
      <c r="AJ81" s="173" t="s">
        <v>1289</v>
      </c>
      <c r="AK81" s="173">
        <v>316.60000000000002</v>
      </c>
      <c r="AS81" s="173" t="e">
        <f t="shared" si="13"/>
        <v>#N/A</v>
      </c>
    </row>
    <row r="82" spans="1:45" s="173" customFormat="1" ht="36" customHeight="1" x14ac:dyDescent="0.9">
      <c r="A82" s="173">
        <v>1</v>
      </c>
      <c r="B82" s="91">
        <f>SUBTOTAL(103,$A$16:A82)</f>
        <v>67</v>
      </c>
      <c r="C82" s="90" t="s">
        <v>1136</v>
      </c>
      <c r="D82" s="185">
        <v>1972</v>
      </c>
      <c r="E82" s="185"/>
      <c r="F82" s="191" t="s">
        <v>273</v>
      </c>
      <c r="G82" s="185">
        <v>5</v>
      </c>
      <c r="H82" s="185">
        <v>4</v>
      </c>
      <c r="I82" s="189">
        <v>4186</v>
      </c>
      <c r="J82" s="189">
        <v>3864.2</v>
      </c>
      <c r="K82" s="189">
        <v>2705.8</v>
      </c>
      <c r="L82" s="187">
        <v>111</v>
      </c>
      <c r="M82" s="185" t="s">
        <v>271</v>
      </c>
      <c r="N82" s="185" t="s">
        <v>275</v>
      </c>
      <c r="O82" s="188" t="s">
        <v>1100</v>
      </c>
      <c r="P82" s="189">
        <v>3730864.3</v>
      </c>
      <c r="Q82" s="189">
        <v>0</v>
      </c>
      <c r="R82" s="189">
        <v>0</v>
      </c>
      <c r="S82" s="189">
        <f t="shared" si="14"/>
        <v>3730864.3</v>
      </c>
      <c r="T82" s="189">
        <f t="shared" si="10"/>
        <v>891.27193024366932</v>
      </c>
      <c r="U82" s="189">
        <f>Y82</f>
        <v>1938.9019923554706</v>
      </c>
      <c r="V82" s="170">
        <f t="shared" si="15"/>
        <v>1047.6300621118012</v>
      </c>
      <c r="W82" s="170"/>
      <c r="X82" s="170"/>
      <c r="Y82" s="173">
        <f t="shared" si="16"/>
        <v>1938.9019923554706</v>
      </c>
      <c r="AA82" s="173">
        <f t="shared" si="11"/>
        <v>1554.3</v>
      </c>
      <c r="AC82" s="173" t="s">
        <v>1659</v>
      </c>
      <c r="AD82" s="173">
        <v>665</v>
      </c>
      <c r="AH82" s="173" t="e">
        <f t="shared" si="12"/>
        <v>#N/A</v>
      </c>
      <c r="AJ82" s="173" t="s">
        <v>1063</v>
      </c>
      <c r="AK82" s="173">
        <v>119.3</v>
      </c>
      <c r="AS82" s="173" t="e">
        <f t="shared" si="13"/>
        <v>#N/A</v>
      </c>
    </row>
    <row r="83" spans="1:45" s="173" customFormat="1" ht="36" customHeight="1" x14ac:dyDescent="0.9">
      <c r="A83" s="173">
        <v>1</v>
      </c>
      <c r="B83" s="91">
        <f>SUBTOTAL(103,$A$16:A83)</f>
        <v>68</v>
      </c>
      <c r="C83" s="90" t="s">
        <v>1137</v>
      </c>
      <c r="D83" s="185">
        <v>1969</v>
      </c>
      <c r="E83" s="185"/>
      <c r="F83" s="191" t="s">
        <v>273</v>
      </c>
      <c r="G83" s="185">
        <v>9</v>
      </c>
      <c r="H83" s="185">
        <v>1</v>
      </c>
      <c r="I83" s="189">
        <v>3340.9</v>
      </c>
      <c r="J83" s="189">
        <v>3067.1</v>
      </c>
      <c r="K83" s="189">
        <v>1971.8</v>
      </c>
      <c r="L83" s="187">
        <v>77</v>
      </c>
      <c r="M83" s="185" t="s">
        <v>271</v>
      </c>
      <c r="N83" s="185" t="s">
        <v>275</v>
      </c>
      <c r="O83" s="188" t="s">
        <v>1100</v>
      </c>
      <c r="P83" s="189">
        <v>2982453.63</v>
      </c>
      <c r="Q83" s="189">
        <v>0</v>
      </c>
      <c r="R83" s="189">
        <v>0</v>
      </c>
      <c r="S83" s="189">
        <f t="shared" si="14"/>
        <v>2982453.63</v>
      </c>
      <c r="T83" s="189">
        <f t="shared" si="10"/>
        <v>892.7096381214642</v>
      </c>
      <c r="U83" s="189">
        <f>T83</f>
        <v>892.7096381214642</v>
      </c>
      <c r="V83" s="170">
        <f t="shared" si="15"/>
        <v>0</v>
      </c>
      <c r="W83" s="170"/>
      <c r="X83" s="170"/>
      <c r="Y83" s="173">
        <f t="shared" si="16"/>
        <v>703.34640366368342</v>
      </c>
      <c r="AA83" s="173">
        <f t="shared" si="11"/>
        <v>450</v>
      </c>
      <c r="AC83" s="173" t="s">
        <v>453</v>
      </c>
      <c r="AD83" s="173">
        <v>598</v>
      </c>
      <c r="AH83" s="173" t="e">
        <f t="shared" si="12"/>
        <v>#N/A</v>
      </c>
      <c r="AJ83" s="173" t="s">
        <v>91</v>
      </c>
      <c r="AK83" s="173">
        <v>142.1</v>
      </c>
      <c r="AS83" s="173" t="e">
        <f t="shared" si="13"/>
        <v>#N/A</v>
      </c>
    </row>
    <row r="84" spans="1:45" s="173" customFormat="1" ht="36" customHeight="1" x14ac:dyDescent="0.9">
      <c r="A84" s="173">
        <v>1</v>
      </c>
      <c r="B84" s="91">
        <f>SUBTOTAL(103,$A$16:A84)</f>
        <v>69</v>
      </c>
      <c r="C84" s="90" t="s">
        <v>1138</v>
      </c>
      <c r="D84" s="185">
        <v>1968</v>
      </c>
      <c r="E84" s="185"/>
      <c r="F84" s="191" t="s">
        <v>273</v>
      </c>
      <c r="G84" s="185">
        <v>9</v>
      </c>
      <c r="H84" s="185">
        <v>1</v>
      </c>
      <c r="I84" s="189">
        <v>3060.1</v>
      </c>
      <c r="J84" s="189">
        <v>2799.7</v>
      </c>
      <c r="K84" s="189">
        <v>2031.6</v>
      </c>
      <c r="L84" s="187">
        <v>100</v>
      </c>
      <c r="M84" s="185" t="s">
        <v>271</v>
      </c>
      <c r="N84" s="185" t="s">
        <v>275</v>
      </c>
      <c r="O84" s="188" t="s">
        <v>1100</v>
      </c>
      <c r="P84" s="189">
        <v>1571848.57</v>
      </c>
      <c r="Q84" s="189">
        <v>0</v>
      </c>
      <c r="R84" s="189">
        <v>0</v>
      </c>
      <c r="S84" s="189">
        <f t="shared" si="14"/>
        <v>1571848.57</v>
      </c>
      <c r="T84" s="189">
        <f t="shared" si="10"/>
        <v>513.65921701905165</v>
      </c>
      <c r="U84" s="189">
        <f>Y84</f>
        <v>767.88667037024936</v>
      </c>
      <c r="V84" s="170">
        <f t="shared" si="15"/>
        <v>254.22745335119771</v>
      </c>
      <c r="W84" s="170"/>
      <c r="X84" s="170"/>
      <c r="Y84" s="173">
        <f t="shared" si="16"/>
        <v>767.88667037024936</v>
      </c>
      <c r="AA84" s="173">
        <f t="shared" si="11"/>
        <v>450</v>
      </c>
      <c r="AC84" s="173" t="s">
        <v>454</v>
      </c>
      <c r="AD84" s="173">
        <v>592.20000000000005</v>
      </c>
      <c r="AH84" s="173" t="e">
        <f t="shared" si="12"/>
        <v>#N/A</v>
      </c>
      <c r="AJ84" s="173" t="s">
        <v>1291</v>
      </c>
      <c r="AK84" s="173">
        <v>438.75</v>
      </c>
      <c r="AS84" s="173" t="e">
        <f t="shared" si="13"/>
        <v>#N/A</v>
      </c>
    </row>
    <row r="85" spans="1:45" s="173" customFormat="1" ht="36" customHeight="1" x14ac:dyDescent="0.9">
      <c r="A85" s="173">
        <v>1</v>
      </c>
      <c r="B85" s="91">
        <f>SUBTOTAL(103,$A$16:A85)</f>
        <v>70</v>
      </c>
      <c r="C85" s="90" t="s">
        <v>1139</v>
      </c>
      <c r="D85" s="185">
        <v>1968</v>
      </c>
      <c r="E85" s="185"/>
      <c r="F85" s="191" t="s">
        <v>273</v>
      </c>
      <c r="G85" s="185">
        <v>9</v>
      </c>
      <c r="H85" s="185">
        <v>1</v>
      </c>
      <c r="I85" s="189">
        <v>3130.4</v>
      </c>
      <c r="J85" s="189">
        <v>2830</v>
      </c>
      <c r="K85" s="189">
        <v>1981.8</v>
      </c>
      <c r="L85" s="187">
        <v>82</v>
      </c>
      <c r="M85" s="185" t="s">
        <v>271</v>
      </c>
      <c r="N85" s="185" t="s">
        <v>275</v>
      </c>
      <c r="O85" s="188" t="s">
        <v>1100</v>
      </c>
      <c r="P85" s="189">
        <v>1564566.8</v>
      </c>
      <c r="Q85" s="189">
        <v>0</v>
      </c>
      <c r="R85" s="189">
        <v>0</v>
      </c>
      <c r="S85" s="189">
        <f t="shared" si="14"/>
        <v>1564566.8</v>
      </c>
      <c r="T85" s="189">
        <f t="shared" si="10"/>
        <v>499.79772553028369</v>
      </c>
      <c r="U85" s="189">
        <f>Y85</f>
        <v>750.64209046767189</v>
      </c>
      <c r="V85" s="170">
        <f t="shared" si="15"/>
        <v>250.84436493738821</v>
      </c>
      <c r="W85" s="170"/>
      <c r="X85" s="170"/>
      <c r="Y85" s="173">
        <f t="shared" si="16"/>
        <v>750.64209046767189</v>
      </c>
      <c r="AA85" s="173">
        <f t="shared" si="11"/>
        <v>450</v>
      </c>
      <c r="AC85" s="173" t="s">
        <v>457</v>
      </c>
      <c r="AD85" s="173">
        <v>603.71</v>
      </c>
      <c r="AH85" s="173" t="e">
        <f t="shared" si="12"/>
        <v>#N/A</v>
      </c>
      <c r="AJ85" s="173" t="s">
        <v>1292</v>
      </c>
      <c r="AK85" s="173">
        <v>729.1</v>
      </c>
      <c r="AS85" s="173" t="e">
        <f t="shared" si="13"/>
        <v>#N/A</v>
      </c>
    </row>
    <row r="86" spans="1:45" s="173" customFormat="1" ht="36" customHeight="1" x14ac:dyDescent="0.9">
      <c r="A86" s="173">
        <v>1</v>
      </c>
      <c r="B86" s="91">
        <f>SUBTOTAL(103,$A$16:A86)</f>
        <v>71</v>
      </c>
      <c r="C86" s="90" t="s">
        <v>1140</v>
      </c>
      <c r="D86" s="185">
        <v>1991</v>
      </c>
      <c r="E86" s="185"/>
      <c r="F86" s="191" t="s">
        <v>273</v>
      </c>
      <c r="G86" s="185">
        <v>10</v>
      </c>
      <c r="H86" s="185">
        <v>2</v>
      </c>
      <c r="I86" s="189">
        <v>5646.2</v>
      </c>
      <c r="J86" s="189">
        <v>4982.1000000000004</v>
      </c>
      <c r="K86" s="189">
        <v>4319</v>
      </c>
      <c r="L86" s="187">
        <v>264</v>
      </c>
      <c r="M86" s="185" t="s">
        <v>271</v>
      </c>
      <c r="N86" s="185" t="s">
        <v>275</v>
      </c>
      <c r="O86" s="188" t="s">
        <v>1412</v>
      </c>
      <c r="P86" s="189">
        <v>2880785.14</v>
      </c>
      <c r="Q86" s="189">
        <v>0</v>
      </c>
      <c r="R86" s="189">
        <v>0</v>
      </c>
      <c r="S86" s="189">
        <f t="shared" si="14"/>
        <v>2880785.14</v>
      </c>
      <c r="T86" s="189">
        <f t="shared" si="10"/>
        <v>510.21663065424536</v>
      </c>
      <c r="U86" s="189">
        <f>AR86</f>
        <v>770.10768304346288</v>
      </c>
      <c r="V86" s="170">
        <f t="shared" si="15"/>
        <v>259.89105238921752</v>
      </c>
      <c r="W86" s="170"/>
      <c r="X86" s="170"/>
      <c r="Y86" s="173" t="e">
        <f t="shared" si="16"/>
        <v>#N/A</v>
      </c>
      <c r="AA86" s="173" t="e">
        <f t="shared" si="11"/>
        <v>#N/A</v>
      </c>
      <c r="AC86" s="173" t="s">
        <v>458</v>
      </c>
      <c r="AD86" s="173">
        <v>588.4</v>
      </c>
      <c r="AH86" s="173" t="e">
        <f t="shared" si="12"/>
        <v>#N/A</v>
      </c>
      <c r="AJ86" s="173" t="s">
        <v>1591</v>
      </c>
      <c r="AK86" s="173">
        <v>2869</v>
      </c>
      <c r="AR86" s="173">
        <f>AS86*2174091/I86</f>
        <v>770.10768304346288</v>
      </c>
      <c r="AS86" s="173">
        <f t="shared" si="13"/>
        <v>2</v>
      </c>
    </row>
    <row r="87" spans="1:45" s="173" customFormat="1" ht="36" customHeight="1" x14ac:dyDescent="0.9">
      <c r="A87" s="173">
        <v>1</v>
      </c>
      <c r="B87" s="91">
        <f>SUBTOTAL(103,$A$16:A87)</f>
        <v>72</v>
      </c>
      <c r="C87" s="90" t="s">
        <v>1141</v>
      </c>
      <c r="D87" s="185">
        <v>1984</v>
      </c>
      <c r="E87" s="185"/>
      <c r="F87" s="191" t="s">
        <v>319</v>
      </c>
      <c r="G87" s="185">
        <v>16</v>
      </c>
      <c r="H87" s="185">
        <v>1</v>
      </c>
      <c r="I87" s="189">
        <v>5474.9</v>
      </c>
      <c r="J87" s="189">
        <v>4635.7</v>
      </c>
      <c r="K87" s="189">
        <v>4362.7</v>
      </c>
      <c r="L87" s="187">
        <v>218</v>
      </c>
      <c r="M87" s="185" t="s">
        <v>271</v>
      </c>
      <c r="N87" s="185" t="s">
        <v>275</v>
      </c>
      <c r="O87" s="188" t="s">
        <v>1412</v>
      </c>
      <c r="P87" s="189">
        <v>3859190.52</v>
      </c>
      <c r="Q87" s="189">
        <v>0</v>
      </c>
      <c r="R87" s="189">
        <v>0</v>
      </c>
      <c r="S87" s="189">
        <f t="shared" si="14"/>
        <v>3859190.52</v>
      </c>
      <c r="T87" s="189">
        <f t="shared" si="10"/>
        <v>704.88785548594501</v>
      </c>
      <c r="U87" s="189">
        <f>AR87</f>
        <v>965.90659190122199</v>
      </c>
      <c r="V87" s="170">
        <f t="shared" si="15"/>
        <v>261.01873641527698</v>
      </c>
      <c r="W87" s="170"/>
      <c r="X87" s="170"/>
      <c r="Y87" s="173" t="e">
        <f t="shared" si="16"/>
        <v>#N/A</v>
      </c>
      <c r="AA87" s="173" t="e">
        <f t="shared" si="11"/>
        <v>#N/A</v>
      </c>
      <c r="AC87" s="173" t="s">
        <v>459</v>
      </c>
      <c r="AD87" s="173">
        <v>555.39</v>
      </c>
      <c r="AH87" s="173" t="e">
        <f t="shared" si="12"/>
        <v>#N/A</v>
      </c>
      <c r="AJ87" s="173" t="s">
        <v>1316</v>
      </c>
      <c r="AK87" s="173">
        <v>109</v>
      </c>
      <c r="AR87" s="173">
        <f>AS87*2644121/I87</f>
        <v>965.90659190122199</v>
      </c>
      <c r="AS87" s="173">
        <f t="shared" si="13"/>
        <v>2</v>
      </c>
    </row>
    <row r="88" spans="1:45" s="173" customFormat="1" ht="36" customHeight="1" x14ac:dyDescent="0.9">
      <c r="A88" s="173">
        <v>1</v>
      </c>
      <c r="B88" s="91">
        <f>SUBTOTAL(103,$A$16:A88)</f>
        <v>73</v>
      </c>
      <c r="C88" s="90" t="s">
        <v>1144</v>
      </c>
      <c r="D88" s="185">
        <v>1932</v>
      </c>
      <c r="E88" s="185"/>
      <c r="F88" s="191" t="s">
        <v>273</v>
      </c>
      <c r="G88" s="185">
        <v>4</v>
      </c>
      <c r="H88" s="185">
        <v>3</v>
      </c>
      <c r="I88" s="189">
        <v>2131.17</v>
      </c>
      <c r="J88" s="189">
        <v>1905.67</v>
      </c>
      <c r="K88" s="189">
        <v>1212.8</v>
      </c>
      <c r="L88" s="187">
        <v>77</v>
      </c>
      <c r="M88" s="185" t="s">
        <v>271</v>
      </c>
      <c r="N88" s="185" t="s">
        <v>275</v>
      </c>
      <c r="O88" s="188" t="s">
        <v>1351</v>
      </c>
      <c r="P88" s="189">
        <v>424166.91999999993</v>
      </c>
      <c r="Q88" s="189">
        <v>0</v>
      </c>
      <c r="R88" s="189">
        <v>0</v>
      </c>
      <c r="S88" s="189">
        <f t="shared" si="14"/>
        <v>424166.91999999993</v>
      </c>
      <c r="T88" s="189">
        <f t="shared" si="10"/>
        <v>199.03007268308014</v>
      </c>
      <c r="U88" s="189">
        <f>T88</f>
        <v>199.03007268308014</v>
      </c>
      <c r="V88" s="170">
        <f t="shared" si="15"/>
        <v>0</v>
      </c>
      <c r="W88" s="170"/>
      <c r="X88" s="170"/>
      <c r="Y88" s="173" t="e">
        <f t="shared" si="16"/>
        <v>#N/A</v>
      </c>
      <c r="AA88" s="173" t="e">
        <f t="shared" si="11"/>
        <v>#N/A</v>
      </c>
      <c r="AC88" s="173" t="s">
        <v>460</v>
      </c>
      <c r="AD88" s="173">
        <v>577</v>
      </c>
      <c r="AH88" s="173" t="e">
        <f t="shared" si="12"/>
        <v>#N/A</v>
      </c>
      <c r="AJ88" s="173" t="s">
        <v>560</v>
      </c>
      <c r="AK88" s="173">
        <v>940.98</v>
      </c>
      <c r="AS88" s="173" t="e">
        <f t="shared" si="13"/>
        <v>#N/A</v>
      </c>
    </row>
    <row r="89" spans="1:45" s="173" customFormat="1" ht="36" customHeight="1" x14ac:dyDescent="0.9">
      <c r="A89" s="173">
        <v>1</v>
      </c>
      <c r="B89" s="91">
        <f>SUBTOTAL(103,$A$16:A89)</f>
        <v>74</v>
      </c>
      <c r="C89" s="90" t="s">
        <v>1150</v>
      </c>
      <c r="D89" s="185">
        <v>1946</v>
      </c>
      <c r="E89" s="185"/>
      <c r="F89" s="191" t="s">
        <v>273</v>
      </c>
      <c r="G89" s="185">
        <v>3</v>
      </c>
      <c r="H89" s="185">
        <v>3</v>
      </c>
      <c r="I89" s="189">
        <v>2194.1999999999998</v>
      </c>
      <c r="J89" s="189">
        <v>1984.8</v>
      </c>
      <c r="K89" s="189">
        <v>1584.8</v>
      </c>
      <c r="L89" s="187">
        <v>31</v>
      </c>
      <c r="M89" s="185" t="s">
        <v>271</v>
      </c>
      <c r="N89" s="185" t="s">
        <v>275</v>
      </c>
      <c r="O89" s="188" t="s">
        <v>1688</v>
      </c>
      <c r="P89" s="189">
        <v>4254119.95</v>
      </c>
      <c r="Q89" s="189">
        <v>0</v>
      </c>
      <c r="R89" s="189">
        <v>0</v>
      </c>
      <c r="S89" s="189">
        <f t="shared" si="14"/>
        <v>4254119.95</v>
      </c>
      <c r="T89" s="189">
        <f t="shared" si="10"/>
        <v>1938.8022741773771</v>
      </c>
      <c r="U89" s="189">
        <f>Y89</f>
        <v>2142.5515176374079</v>
      </c>
      <c r="V89" s="170">
        <f t="shared" si="15"/>
        <v>203.74924346003081</v>
      </c>
      <c r="W89" s="170"/>
      <c r="X89" s="170"/>
      <c r="Y89" s="173">
        <f t="shared" si="16"/>
        <v>2142.5515176374079</v>
      </c>
      <c r="AA89" s="173">
        <f t="shared" si="11"/>
        <v>900.3</v>
      </c>
      <c r="AC89" s="173" t="s">
        <v>461</v>
      </c>
      <c r="AD89" s="173">
        <v>567.62</v>
      </c>
      <c r="AH89" s="173" t="e">
        <f t="shared" si="12"/>
        <v>#N/A</v>
      </c>
      <c r="AJ89" s="173" t="s">
        <v>564</v>
      </c>
      <c r="AK89" s="173">
        <v>1047.25</v>
      </c>
      <c r="AS89" s="173" t="e">
        <f t="shared" si="13"/>
        <v>#N/A</v>
      </c>
    </row>
    <row r="90" spans="1:45" s="173" customFormat="1" ht="36" customHeight="1" x14ac:dyDescent="0.9">
      <c r="A90" s="173">
        <v>1</v>
      </c>
      <c r="B90" s="91">
        <f>SUBTOTAL(103,$A$16:A90)</f>
        <v>75</v>
      </c>
      <c r="C90" s="90" t="s">
        <v>1151</v>
      </c>
      <c r="D90" s="185">
        <v>1949</v>
      </c>
      <c r="E90" s="185"/>
      <c r="F90" s="191" t="s">
        <v>273</v>
      </c>
      <c r="G90" s="185" t="s">
        <v>311</v>
      </c>
      <c r="H90" s="185" t="s">
        <v>311</v>
      </c>
      <c r="I90" s="189">
        <v>938.97</v>
      </c>
      <c r="J90" s="189">
        <v>864.07</v>
      </c>
      <c r="K90" s="189">
        <v>649.77</v>
      </c>
      <c r="L90" s="187">
        <v>19</v>
      </c>
      <c r="M90" s="185" t="s">
        <v>271</v>
      </c>
      <c r="N90" s="185" t="s">
        <v>275</v>
      </c>
      <c r="O90" s="188" t="s">
        <v>1411</v>
      </c>
      <c r="P90" s="189">
        <v>3712372.02</v>
      </c>
      <c r="Q90" s="189">
        <v>0</v>
      </c>
      <c r="R90" s="189">
        <v>0</v>
      </c>
      <c r="S90" s="189">
        <f t="shared" si="14"/>
        <v>3712372.02</v>
      </c>
      <c r="T90" s="189">
        <f t="shared" si="10"/>
        <v>3953.664142624365</v>
      </c>
      <c r="U90" s="189">
        <f>AG90</f>
        <v>5875.4693485481494</v>
      </c>
      <c r="V90" s="170">
        <f t="shared" si="15"/>
        <v>1921.8052059237843</v>
      </c>
      <c r="W90" s="170"/>
      <c r="X90" s="170"/>
      <c r="Y90" s="173" t="e">
        <f t="shared" si="16"/>
        <v>#N/A</v>
      </c>
      <c r="AA90" s="173" t="e">
        <f t="shared" si="11"/>
        <v>#N/A</v>
      </c>
      <c r="AC90" s="173" t="s">
        <v>462</v>
      </c>
      <c r="AD90" s="173">
        <v>865.12</v>
      </c>
      <c r="AG90" s="173">
        <f>AH90*6191.24/J90</f>
        <v>5875.4693485481494</v>
      </c>
      <c r="AH90" s="173">
        <f t="shared" si="12"/>
        <v>820</v>
      </c>
      <c r="AJ90" s="173" t="s">
        <v>510</v>
      </c>
      <c r="AK90" s="173">
        <v>2002</v>
      </c>
      <c r="AS90" s="173" t="e">
        <f t="shared" si="13"/>
        <v>#N/A</v>
      </c>
    </row>
    <row r="91" spans="1:45" s="173" customFormat="1" ht="36" customHeight="1" x14ac:dyDescent="0.9">
      <c r="A91" s="173">
        <v>1</v>
      </c>
      <c r="B91" s="91">
        <f>SUBTOTAL(103,$A$16:A91)</f>
        <v>76</v>
      </c>
      <c r="C91" s="90" t="s">
        <v>1152</v>
      </c>
      <c r="D91" s="185">
        <v>1958</v>
      </c>
      <c r="E91" s="185"/>
      <c r="F91" s="191" t="s">
        <v>273</v>
      </c>
      <c r="G91" s="185">
        <v>2</v>
      </c>
      <c r="H91" s="185">
        <v>1</v>
      </c>
      <c r="I91" s="189">
        <v>429.6</v>
      </c>
      <c r="J91" s="189">
        <v>389</v>
      </c>
      <c r="K91" s="189">
        <v>344.8</v>
      </c>
      <c r="L91" s="187">
        <v>28</v>
      </c>
      <c r="M91" s="185" t="s">
        <v>271</v>
      </c>
      <c r="N91" s="185" t="s">
        <v>275</v>
      </c>
      <c r="O91" s="188" t="s">
        <v>1351</v>
      </c>
      <c r="P91" s="189">
        <v>1900391.55</v>
      </c>
      <c r="Q91" s="189">
        <v>0</v>
      </c>
      <c r="R91" s="189">
        <v>0</v>
      </c>
      <c r="S91" s="189">
        <f t="shared" si="14"/>
        <v>1900391.55</v>
      </c>
      <c r="T91" s="189">
        <f t="shared" si="10"/>
        <v>4423.6302374301677</v>
      </c>
      <c r="U91" s="189">
        <f>AG91</f>
        <v>8132.9656555269912</v>
      </c>
      <c r="V91" s="170">
        <f t="shared" si="15"/>
        <v>3709.3354180968236</v>
      </c>
      <c r="W91" s="170"/>
      <c r="X91" s="170"/>
      <c r="Y91" s="173" t="e">
        <f t="shared" si="16"/>
        <v>#N/A</v>
      </c>
      <c r="AA91" s="173" t="e">
        <f t="shared" si="11"/>
        <v>#N/A</v>
      </c>
      <c r="AC91" s="173" t="s">
        <v>463</v>
      </c>
      <c r="AD91" s="173">
        <v>556.79999999999995</v>
      </c>
      <c r="AG91" s="173">
        <f>AH91*6191.24/J91</f>
        <v>8132.9656555269912</v>
      </c>
      <c r="AH91" s="173">
        <f t="shared" si="12"/>
        <v>511</v>
      </c>
      <c r="AJ91" s="173" t="s">
        <v>1093</v>
      </c>
      <c r="AK91" s="173">
        <v>860</v>
      </c>
      <c r="AS91" s="173" t="e">
        <f t="shared" si="13"/>
        <v>#N/A</v>
      </c>
    </row>
    <row r="92" spans="1:45" s="173" customFormat="1" ht="36" customHeight="1" x14ac:dyDescent="0.9">
      <c r="A92" s="173">
        <v>1</v>
      </c>
      <c r="B92" s="91">
        <f>SUBTOTAL(103,$A$16:A92)</f>
        <v>77</v>
      </c>
      <c r="C92" s="90" t="s">
        <v>1153</v>
      </c>
      <c r="D92" s="185">
        <v>1958</v>
      </c>
      <c r="E92" s="185"/>
      <c r="F92" s="191" t="s">
        <v>273</v>
      </c>
      <c r="G92" s="185">
        <v>2</v>
      </c>
      <c r="H92" s="185">
        <v>1</v>
      </c>
      <c r="I92" s="189">
        <v>447.4</v>
      </c>
      <c r="J92" s="189">
        <v>385</v>
      </c>
      <c r="K92" s="189">
        <v>341.3</v>
      </c>
      <c r="L92" s="187">
        <v>24</v>
      </c>
      <c r="M92" s="185" t="s">
        <v>271</v>
      </c>
      <c r="N92" s="185" t="s">
        <v>275</v>
      </c>
      <c r="O92" s="188" t="s">
        <v>1351</v>
      </c>
      <c r="P92" s="189">
        <v>2106147.9500000002</v>
      </c>
      <c r="Q92" s="189">
        <v>0</v>
      </c>
      <c r="R92" s="189">
        <v>0</v>
      </c>
      <c r="S92" s="189">
        <f t="shared" si="14"/>
        <v>2106147.9500000002</v>
      </c>
      <c r="T92" s="189">
        <f t="shared" si="10"/>
        <v>4707.5278274474749</v>
      </c>
      <c r="U92" s="189">
        <f>AG92</f>
        <v>8293.5278057142859</v>
      </c>
      <c r="V92" s="170">
        <f t="shared" si="15"/>
        <v>3585.999978266811</v>
      </c>
      <c r="W92" s="170"/>
      <c r="X92" s="170"/>
      <c r="Y92" s="173" t="e">
        <f t="shared" si="16"/>
        <v>#N/A</v>
      </c>
      <c r="AA92" s="173" t="e">
        <f t="shared" si="11"/>
        <v>#N/A</v>
      </c>
      <c r="AC92" s="173" t="s">
        <v>464</v>
      </c>
      <c r="AD92" s="173">
        <v>860.91</v>
      </c>
      <c r="AG92" s="173">
        <f>AH92*6191.24/J92</f>
        <v>8293.5278057142859</v>
      </c>
      <c r="AH92" s="173">
        <f t="shared" si="12"/>
        <v>515.73</v>
      </c>
      <c r="AJ92" s="173" t="s">
        <v>1400</v>
      </c>
      <c r="AK92" s="173">
        <v>554</v>
      </c>
      <c r="AS92" s="173" t="e">
        <f t="shared" si="13"/>
        <v>#N/A</v>
      </c>
    </row>
    <row r="93" spans="1:45" s="173" customFormat="1" ht="36" customHeight="1" x14ac:dyDescent="0.9">
      <c r="A93" s="173">
        <v>1</v>
      </c>
      <c r="B93" s="91">
        <f>SUBTOTAL(103,$A$16:A93)</f>
        <v>78</v>
      </c>
      <c r="C93" s="90" t="s">
        <v>1154</v>
      </c>
      <c r="D93" s="185">
        <v>1963</v>
      </c>
      <c r="E93" s="185"/>
      <c r="F93" s="191" t="s">
        <v>273</v>
      </c>
      <c r="G93" s="185">
        <v>5</v>
      </c>
      <c r="H93" s="185">
        <v>2</v>
      </c>
      <c r="I93" s="189">
        <v>2093.4</v>
      </c>
      <c r="J93" s="189">
        <v>1625</v>
      </c>
      <c r="K93" s="189">
        <v>1469.4</v>
      </c>
      <c r="L93" s="187">
        <v>81</v>
      </c>
      <c r="M93" s="185" t="s">
        <v>271</v>
      </c>
      <c r="N93" s="185" t="s">
        <v>275</v>
      </c>
      <c r="O93" s="188" t="s">
        <v>1689</v>
      </c>
      <c r="P93" s="189">
        <v>3257277.38</v>
      </c>
      <c r="Q93" s="189">
        <v>0</v>
      </c>
      <c r="R93" s="189">
        <v>0</v>
      </c>
      <c r="S93" s="189">
        <f t="shared" si="14"/>
        <v>3257277.38</v>
      </c>
      <c r="T93" s="189">
        <f t="shared" si="10"/>
        <v>1555.9746727811214</v>
      </c>
      <c r="U93" s="189">
        <f>AG93</f>
        <v>5801.858628923077</v>
      </c>
      <c r="V93" s="170">
        <f t="shared" si="15"/>
        <v>4245.8839561419554</v>
      </c>
      <c r="W93" s="170"/>
      <c r="X93" s="170"/>
      <c r="Y93" s="173" t="e">
        <f t="shared" si="16"/>
        <v>#N/A</v>
      </c>
      <c r="AA93" s="173" t="e">
        <f t="shared" si="11"/>
        <v>#N/A</v>
      </c>
      <c r="AC93" s="173" t="s">
        <v>1177</v>
      </c>
      <c r="AD93" s="173">
        <v>633.34</v>
      </c>
      <c r="AG93" s="173">
        <f>AH93*6191.24/J93</f>
        <v>5801.858628923077</v>
      </c>
      <c r="AH93" s="173">
        <f t="shared" si="12"/>
        <v>1522.8</v>
      </c>
      <c r="AJ93" s="173" t="s">
        <v>1132</v>
      </c>
      <c r="AK93" s="173">
        <v>1524.32</v>
      </c>
      <c r="AS93" s="173" t="e">
        <f t="shared" si="13"/>
        <v>#N/A</v>
      </c>
    </row>
    <row r="94" spans="1:45" s="173" customFormat="1" ht="36" customHeight="1" x14ac:dyDescent="0.9">
      <c r="A94" s="173">
        <v>1</v>
      </c>
      <c r="B94" s="91">
        <f>SUBTOTAL(103,$A$16:A94)</f>
        <v>79</v>
      </c>
      <c r="C94" s="90" t="s">
        <v>1155</v>
      </c>
      <c r="D94" s="185">
        <v>1958</v>
      </c>
      <c r="E94" s="185"/>
      <c r="F94" s="191" t="s">
        <v>273</v>
      </c>
      <c r="G94" s="185">
        <v>3</v>
      </c>
      <c r="H94" s="185">
        <v>2</v>
      </c>
      <c r="I94" s="189">
        <v>1085.8</v>
      </c>
      <c r="J94" s="189">
        <v>994.9</v>
      </c>
      <c r="K94" s="189">
        <v>922</v>
      </c>
      <c r="L94" s="187">
        <v>18</v>
      </c>
      <c r="M94" s="185" t="s">
        <v>271</v>
      </c>
      <c r="N94" s="185" t="s">
        <v>275</v>
      </c>
      <c r="O94" s="188" t="s">
        <v>1411</v>
      </c>
      <c r="P94" s="189">
        <v>2278510.5799999996</v>
      </c>
      <c r="Q94" s="189">
        <v>0</v>
      </c>
      <c r="R94" s="189">
        <v>0</v>
      </c>
      <c r="S94" s="189">
        <f t="shared" si="14"/>
        <v>2278510.5799999996</v>
      </c>
      <c r="T94" s="189">
        <f t="shared" si="10"/>
        <v>2098.4624976975501</v>
      </c>
      <c r="U94" s="189">
        <f>Y94</f>
        <v>3002.1262202983976</v>
      </c>
      <c r="V94" s="170">
        <f t="shared" si="15"/>
        <v>903.66372260084745</v>
      </c>
      <c r="W94" s="170"/>
      <c r="X94" s="170"/>
      <c r="Y94" s="173">
        <f t="shared" si="16"/>
        <v>3002.1262202983976</v>
      </c>
      <c r="AA94" s="173">
        <f t="shared" si="11"/>
        <v>624.25</v>
      </c>
      <c r="AC94" s="173" t="s">
        <v>1313</v>
      </c>
      <c r="AD94" s="173">
        <v>1674.7</v>
      </c>
      <c r="AH94" s="173" t="e">
        <f t="shared" si="12"/>
        <v>#N/A</v>
      </c>
      <c r="AJ94" s="173" t="s">
        <v>1147</v>
      </c>
      <c r="AK94" s="173">
        <v>1389</v>
      </c>
      <c r="AS94" s="173" t="e">
        <f t="shared" si="13"/>
        <v>#N/A</v>
      </c>
    </row>
    <row r="95" spans="1:45" s="173" customFormat="1" ht="36" customHeight="1" x14ac:dyDescent="0.9">
      <c r="A95" s="173">
        <v>1</v>
      </c>
      <c r="B95" s="91">
        <f>SUBTOTAL(103,$A$16:A95)</f>
        <v>80</v>
      </c>
      <c r="C95" s="90" t="s">
        <v>1156</v>
      </c>
      <c r="D95" s="185">
        <v>1959</v>
      </c>
      <c r="E95" s="185"/>
      <c r="F95" s="191" t="s">
        <v>273</v>
      </c>
      <c r="G95" s="185">
        <v>2</v>
      </c>
      <c r="H95" s="185">
        <v>1</v>
      </c>
      <c r="I95" s="189">
        <v>495</v>
      </c>
      <c r="J95" s="189">
        <v>308.10000000000002</v>
      </c>
      <c r="K95" s="189">
        <v>308.10000000000002</v>
      </c>
      <c r="L95" s="187">
        <v>19</v>
      </c>
      <c r="M95" s="185" t="s">
        <v>271</v>
      </c>
      <c r="N95" s="185" t="s">
        <v>275</v>
      </c>
      <c r="O95" s="188" t="s">
        <v>1683</v>
      </c>
      <c r="P95" s="189">
        <v>2391493.25</v>
      </c>
      <c r="Q95" s="189">
        <v>0</v>
      </c>
      <c r="R95" s="189">
        <v>0</v>
      </c>
      <c r="S95" s="189">
        <f t="shared" si="14"/>
        <v>2391493.25</v>
      </c>
      <c r="T95" s="189">
        <f t="shared" si="10"/>
        <v>4831.2994949494951</v>
      </c>
      <c r="U95" s="189">
        <f>AG95</f>
        <v>13053.649802012333</v>
      </c>
      <c r="V95" s="170">
        <f t="shared" si="15"/>
        <v>8222.3503070628376</v>
      </c>
      <c r="W95" s="170"/>
      <c r="X95" s="170"/>
      <c r="Y95" s="173" t="e">
        <f t="shared" si="16"/>
        <v>#N/A</v>
      </c>
      <c r="AA95" s="173" t="e">
        <f t="shared" si="11"/>
        <v>#N/A</v>
      </c>
      <c r="AC95" s="173" t="s">
        <v>473</v>
      </c>
      <c r="AD95" s="173">
        <v>719</v>
      </c>
      <c r="AG95" s="173">
        <f>AH95*6191.24/J95</f>
        <v>13053.649802012333</v>
      </c>
      <c r="AH95" s="173">
        <f t="shared" si="12"/>
        <v>649.6</v>
      </c>
      <c r="AJ95" s="173" t="s">
        <v>1149</v>
      </c>
      <c r="AK95" s="173">
        <v>1778.5</v>
      </c>
      <c r="AS95" s="173" t="e">
        <f t="shared" si="13"/>
        <v>#N/A</v>
      </c>
    </row>
    <row r="96" spans="1:45" s="173" customFormat="1" ht="36" customHeight="1" x14ac:dyDescent="0.9">
      <c r="A96" s="173">
        <v>1</v>
      </c>
      <c r="B96" s="91">
        <f>SUBTOTAL(103,$A$16:A96)</f>
        <v>81</v>
      </c>
      <c r="C96" s="90" t="s">
        <v>1157</v>
      </c>
      <c r="D96" s="185">
        <v>1968</v>
      </c>
      <c r="E96" s="185"/>
      <c r="F96" s="191" t="s">
        <v>273</v>
      </c>
      <c r="G96" s="185">
        <v>5</v>
      </c>
      <c r="H96" s="185">
        <v>4</v>
      </c>
      <c r="I96" s="189">
        <v>3196.3</v>
      </c>
      <c r="J96" s="189">
        <v>3132.7</v>
      </c>
      <c r="K96" s="189">
        <v>3132.7</v>
      </c>
      <c r="L96" s="187">
        <v>173</v>
      </c>
      <c r="M96" s="185" t="s">
        <v>271</v>
      </c>
      <c r="N96" s="185" t="s">
        <v>275</v>
      </c>
      <c r="O96" s="188" t="s">
        <v>1413</v>
      </c>
      <c r="P96" s="189">
        <v>1057247.3700000001</v>
      </c>
      <c r="Q96" s="189">
        <v>0</v>
      </c>
      <c r="R96" s="189">
        <v>0</v>
      </c>
      <c r="S96" s="189">
        <f t="shared" si="14"/>
        <v>1057247.3700000001</v>
      </c>
      <c r="T96" s="189">
        <f t="shared" si="10"/>
        <v>330.77225854894726</v>
      </c>
      <c r="U96" s="189">
        <v>3234.9878786764702</v>
      </c>
      <c r="V96" s="170">
        <f t="shared" si="15"/>
        <v>2904.2156201275229</v>
      </c>
      <c r="W96" s="170"/>
      <c r="X96" s="170"/>
      <c r="Y96" s="173" t="e">
        <f t="shared" si="16"/>
        <v>#N/A</v>
      </c>
      <c r="AA96" s="173" t="e">
        <f t="shared" si="11"/>
        <v>#N/A</v>
      </c>
      <c r="AC96" s="173" t="s">
        <v>396</v>
      </c>
      <c r="AD96" s="173">
        <v>1108.98</v>
      </c>
      <c r="AH96" s="173" t="e">
        <f t="shared" si="12"/>
        <v>#N/A</v>
      </c>
      <c r="AJ96" s="173" t="s">
        <v>1631</v>
      </c>
      <c r="AK96" s="173">
        <v>840</v>
      </c>
      <c r="AS96" s="173" t="e">
        <f t="shared" si="13"/>
        <v>#N/A</v>
      </c>
    </row>
    <row r="97" spans="1:45" s="173" customFormat="1" ht="36" customHeight="1" x14ac:dyDescent="0.9">
      <c r="A97" s="173">
        <v>1</v>
      </c>
      <c r="B97" s="91">
        <f>SUBTOTAL(103,$A$16:A97)</f>
        <v>82</v>
      </c>
      <c r="C97" s="90" t="s">
        <v>1158</v>
      </c>
      <c r="D97" s="185">
        <v>1974</v>
      </c>
      <c r="E97" s="185"/>
      <c r="F97" s="191" t="s">
        <v>319</v>
      </c>
      <c r="G97" s="185">
        <v>5</v>
      </c>
      <c r="H97" s="185">
        <v>6</v>
      </c>
      <c r="I97" s="189">
        <v>6075</v>
      </c>
      <c r="J97" s="189">
        <v>4574.1000000000004</v>
      </c>
      <c r="K97" s="189">
        <v>4324.3999999999996</v>
      </c>
      <c r="L97" s="187">
        <v>225</v>
      </c>
      <c r="M97" s="185" t="s">
        <v>271</v>
      </c>
      <c r="N97" s="185" t="s">
        <v>275</v>
      </c>
      <c r="O97" s="188" t="s">
        <v>1349</v>
      </c>
      <c r="P97" s="189">
        <v>5231607.8099999996</v>
      </c>
      <c r="Q97" s="189">
        <v>0</v>
      </c>
      <c r="R97" s="189">
        <v>0</v>
      </c>
      <c r="S97" s="189">
        <f t="shared" si="14"/>
        <v>5231607.8099999996</v>
      </c>
      <c r="T97" s="189">
        <f t="shared" si="10"/>
        <v>861.17000987654319</v>
      </c>
      <c r="U97" s="189">
        <f>Y97</f>
        <v>989.52035555555562</v>
      </c>
      <c r="V97" s="170">
        <f t="shared" si="15"/>
        <v>128.35034567901243</v>
      </c>
      <c r="W97" s="170"/>
      <c r="X97" s="170"/>
      <c r="Y97" s="173">
        <f t="shared" si="16"/>
        <v>989.52035555555562</v>
      </c>
      <c r="AA97" s="173">
        <f t="shared" si="11"/>
        <v>1151.2</v>
      </c>
      <c r="AC97" s="173" t="s">
        <v>398</v>
      </c>
      <c r="AD97" s="173">
        <v>600</v>
      </c>
      <c r="AH97" s="173" t="e">
        <f t="shared" si="12"/>
        <v>#N/A</v>
      </c>
      <c r="AJ97" s="173" t="s">
        <v>1663</v>
      </c>
      <c r="AK97" s="173">
        <v>1343.2</v>
      </c>
      <c r="AS97" s="173" t="e">
        <f t="shared" si="13"/>
        <v>#N/A</v>
      </c>
    </row>
    <row r="98" spans="1:45" s="173" customFormat="1" ht="36" customHeight="1" x14ac:dyDescent="0.9">
      <c r="A98" s="173">
        <v>1</v>
      </c>
      <c r="B98" s="91">
        <f>SUBTOTAL(103,$A$16:A98)</f>
        <v>83</v>
      </c>
      <c r="C98" s="90" t="s">
        <v>1161</v>
      </c>
      <c r="D98" s="185">
        <v>1959</v>
      </c>
      <c r="E98" s="185"/>
      <c r="F98" s="191" t="s">
        <v>273</v>
      </c>
      <c r="G98" s="185">
        <v>2</v>
      </c>
      <c r="H98" s="185">
        <v>2</v>
      </c>
      <c r="I98" s="189">
        <v>572.79999999999995</v>
      </c>
      <c r="J98" s="189">
        <v>339.4</v>
      </c>
      <c r="K98" s="189">
        <v>339.4</v>
      </c>
      <c r="L98" s="187">
        <v>20</v>
      </c>
      <c r="M98" s="185" t="s">
        <v>271</v>
      </c>
      <c r="N98" s="185" t="s">
        <v>275</v>
      </c>
      <c r="O98" s="188" t="s">
        <v>1351</v>
      </c>
      <c r="P98" s="189">
        <v>1938049.3</v>
      </c>
      <c r="Q98" s="189">
        <v>0</v>
      </c>
      <c r="R98" s="189">
        <v>0</v>
      </c>
      <c r="S98" s="189">
        <f t="shared" si="14"/>
        <v>1938049.3</v>
      </c>
      <c r="T98" s="189">
        <f t="shared" si="10"/>
        <v>3383.4659567039112</v>
      </c>
      <c r="U98" s="189">
        <f>AG98</f>
        <v>10762.615203299942</v>
      </c>
      <c r="V98" s="170">
        <f t="shared" si="15"/>
        <v>7379.1492465960309</v>
      </c>
      <c r="W98" s="170"/>
      <c r="X98" s="170"/>
      <c r="Y98" s="173" t="e">
        <f t="shared" si="16"/>
        <v>#N/A</v>
      </c>
      <c r="AA98" s="173" t="e">
        <f t="shared" si="11"/>
        <v>#N/A</v>
      </c>
      <c r="AC98" s="173" t="s">
        <v>399</v>
      </c>
      <c r="AD98" s="173">
        <v>928</v>
      </c>
      <c r="AG98" s="173">
        <f>AH98*6191.24/J98</f>
        <v>10762.615203299942</v>
      </c>
      <c r="AH98" s="173">
        <f t="shared" si="12"/>
        <v>590</v>
      </c>
      <c r="AJ98" s="173" t="s">
        <v>467</v>
      </c>
      <c r="AK98" s="173">
        <v>439.04</v>
      </c>
      <c r="AS98" s="173" t="e">
        <f t="shared" si="13"/>
        <v>#N/A</v>
      </c>
    </row>
    <row r="99" spans="1:45" s="173" customFormat="1" ht="36" customHeight="1" x14ac:dyDescent="0.9">
      <c r="A99" s="173">
        <v>1</v>
      </c>
      <c r="B99" s="91">
        <f>SUBTOTAL(103,$A$16:A99)</f>
        <v>84</v>
      </c>
      <c r="C99" s="90" t="s">
        <v>1162</v>
      </c>
      <c r="D99" s="185">
        <v>1955</v>
      </c>
      <c r="E99" s="185"/>
      <c r="F99" s="191" t="s">
        <v>273</v>
      </c>
      <c r="G99" s="185">
        <v>2</v>
      </c>
      <c r="H99" s="185">
        <v>1</v>
      </c>
      <c r="I99" s="189">
        <v>527.66</v>
      </c>
      <c r="J99" s="189">
        <v>427.66</v>
      </c>
      <c r="K99" s="189">
        <v>357.76</v>
      </c>
      <c r="L99" s="187">
        <v>20</v>
      </c>
      <c r="M99" s="185" t="s">
        <v>271</v>
      </c>
      <c r="N99" s="185" t="s">
        <v>275</v>
      </c>
      <c r="O99" s="188" t="s">
        <v>1349</v>
      </c>
      <c r="P99" s="189">
        <v>1674322.91</v>
      </c>
      <c r="Q99" s="189">
        <v>0</v>
      </c>
      <c r="R99" s="189">
        <v>0</v>
      </c>
      <c r="S99" s="189">
        <f t="shared" si="14"/>
        <v>1674322.91</v>
      </c>
      <c r="T99" s="189">
        <f t="shared" si="10"/>
        <v>3173.1094075730584</v>
      </c>
      <c r="U99" s="189">
        <f>AG99</f>
        <v>6516.104204274423</v>
      </c>
      <c r="V99" s="170">
        <f t="shared" si="15"/>
        <v>3342.9947967013645</v>
      </c>
      <c r="W99" s="170"/>
      <c r="X99" s="170"/>
      <c r="Y99" s="173" t="e">
        <f t="shared" si="16"/>
        <v>#N/A</v>
      </c>
      <c r="AA99" s="173" t="e">
        <f t="shared" si="11"/>
        <v>#N/A</v>
      </c>
      <c r="AC99" s="173" t="s">
        <v>400</v>
      </c>
      <c r="AD99" s="173">
        <v>976</v>
      </c>
      <c r="AG99" s="173">
        <f>AH99*6191.24/J99</f>
        <v>6516.104204274423</v>
      </c>
      <c r="AH99" s="173">
        <f t="shared" si="12"/>
        <v>450.1</v>
      </c>
      <c r="AJ99" s="173" t="s">
        <v>472</v>
      </c>
      <c r="AK99" s="173">
        <v>409.5</v>
      </c>
      <c r="AS99" s="173" t="e">
        <f t="shared" si="13"/>
        <v>#N/A</v>
      </c>
    </row>
    <row r="100" spans="1:45" s="173" customFormat="1" ht="36" customHeight="1" x14ac:dyDescent="0.9">
      <c r="A100" s="173">
        <v>1</v>
      </c>
      <c r="B100" s="91">
        <f>SUBTOTAL(103,$A$16:A100)</f>
        <v>85</v>
      </c>
      <c r="C100" s="90" t="s">
        <v>1590</v>
      </c>
      <c r="D100" s="185">
        <v>1949</v>
      </c>
      <c r="E100" s="185"/>
      <c r="F100" s="191" t="s">
        <v>273</v>
      </c>
      <c r="G100" s="185">
        <v>2</v>
      </c>
      <c r="H100" s="185">
        <v>1</v>
      </c>
      <c r="I100" s="189">
        <v>559.9</v>
      </c>
      <c r="J100" s="189">
        <v>519.9</v>
      </c>
      <c r="K100" s="189">
        <v>519.9</v>
      </c>
      <c r="L100" s="187">
        <v>22</v>
      </c>
      <c r="M100" s="185" t="s">
        <v>271</v>
      </c>
      <c r="N100" s="185" t="s">
        <v>275</v>
      </c>
      <c r="O100" s="188" t="s">
        <v>1410</v>
      </c>
      <c r="P100" s="189">
        <v>1677475.96</v>
      </c>
      <c r="Q100" s="189">
        <v>0</v>
      </c>
      <c r="R100" s="189">
        <v>0</v>
      </c>
      <c r="S100" s="189">
        <f t="shared" si="14"/>
        <v>1677475.96</v>
      </c>
      <c r="T100" s="189">
        <f t="shared" si="10"/>
        <v>2996.0277906769065</v>
      </c>
      <c r="U100" s="189">
        <f t="shared" ref="U100:U109" si="17">Y100</f>
        <v>4513.9332023575644</v>
      </c>
      <c r="V100" s="170">
        <f t="shared" si="15"/>
        <v>1517.9054116806578</v>
      </c>
      <c r="W100" s="170"/>
      <c r="X100" s="170"/>
      <c r="Y100" s="173">
        <f t="shared" si="16"/>
        <v>4513.9332023575644</v>
      </c>
      <c r="AA100" s="173">
        <f t="shared" si="11"/>
        <v>484</v>
      </c>
      <c r="AC100" s="173" t="s">
        <v>402</v>
      </c>
      <c r="AD100" s="173">
        <v>443.8</v>
      </c>
      <c r="AH100" s="173" t="e">
        <f t="shared" si="12"/>
        <v>#N/A</v>
      </c>
      <c r="AJ100" s="173" t="s">
        <v>430</v>
      </c>
      <c r="AK100" s="173">
        <v>947</v>
      </c>
      <c r="AS100" s="173" t="e">
        <f t="shared" si="13"/>
        <v>#N/A</v>
      </c>
    </row>
    <row r="101" spans="1:45" s="173" customFormat="1" ht="36" customHeight="1" x14ac:dyDescent="0.9">
      <c r="A101" s="173">
        <v>1</v>
      </c>
      <c r="B101" s="91">
        <f>SUBTOTAL(103,$A$16:A101)</f>
        <v>86</v>
      </c>
      <c r="C101" s="90" t="s">
        <v>1586</v>
      </c>
      <c r="D101" s="185">
        <v>1969</v>
      </c>
      <c r="E101" s="185"/>
      <c r="F101" s="191" t="s">
        <v>273</v>
      </c>
      <c r="G101" s="185">
        <v>5</v>
      </c>
      <c r="H101" s="185">
        <v>3</v>
      </c>
      <c r="I101" s="189">
        <v>2989.1</v>
      </c>
      <c r="J101" s="189">
        <v>2908.3</v>
      </c>
      <c r="K101" s="189">
        <v>2016</v>
      </c>
      <c r="L101" s="187">
        <v>96</v>
      </c>
      <c r="M101" s="185" t="s">
        <v>271</v>
      </c>
      <c r="N101" s="185" t="s">
        <v>275</v>
      </c>
      <c r="O101" s="188" t="s">
        <v>1688</v>
      </c>
      <c r="P101" s="189">
        <v>3647787.35</v>
      </c>
      <c r="Q101" s="189">
        <v>0</v>
      </c>
      <c r="R101" s="189">
        <v>0</v>
      </c>
      <c r="S101" s="189">
        <f t="shared" si="14"/>
        <v>3647787.35</v>
      </c>
      <c r="T101" s="189">
        <f t="shared" si="10"/>
        <v>1220.3631026061357</v>
      </c>
      <c r="U101" s="189">
        <f t="shared" si="17"/>
        <v>1572.2525174801781</v>
      </c>
      <c r="V101" s="170">
        <f t="shared" si="15"/>
        <v>351.88941487404236</v>
      </c>
      <c r="W101" s="170"/>
      <c r="X101" s="170"/>
      <c r="Y101" s="173">
        <f t="shared" si="16"/>
        <v>1572.2525174801781</v>
      </c>
      <c r="AA101" s="173">
        <f t="shared" si="11"/>
        <v>900</v>
      </c>
      <c r="AC101" s="173" t="s">
        <v>404</v>
      </c>
      <c r="AD101" s="173">
        <v>1580</v>
      </c>
      <c r="AH101" s="173" t="e">
        <f t="shared" si="12"/>
        <v>#N/A</v>
      </c>
      <c r="AJ101" s="173" t="s">
        <v>393</v>
      </c>
      <c r="AK101" s="173">
        <v>2476.9</v>
      </c>
      <c r="AS101" s="173" t="e">
        <f t="shared" si="13"/>
        <v>#N/A</v>
      </c>
    </row>
    <row r="102" spans="1:45" s="173" customFormat="1" ht="36" customHeight="1" x14ac:dyDescent="0.9">
      <c r="A102" s="173">
        <v>1</v>
      </c>
      <c r="B102" s="91">
        <f>SUBTOTAL(103,$A$16:A102)</f>
        <v>87</v>
      </c>
      <c r="C102" s="90" t="s">
        <v>1589</v>
      </c>
      <c r="D102" s="185">
        <v>1938</v>
      </c>
      <c r="E102" s="185"/>
      <c r="F102" s="191" t="s">
        <v>273</v>
      </c>
      <c r="G102" s="185">
        <v>5</v>
      </c>
      <c r="H102" s="185">
        <v>4</v>
      </c>
      <c r="I102" s="189">
        <v>2281.4699999999998</v>
      </c>
      <c r="J102" s="189">
        <v>2181.4699999999998</v>
      </c>
      <c r="K102" s="189">
        <v>1868.6</v>
      </c>
      <c r="L102" s="187">
        <v>88</v>
      </c>
      <c r="M102" s="185" t="s">
        <v>271</v>
      </c>
      <c r="N102" s="185" t="s">
        <v>275</v>
      </c>
      <c r="O102" s="188" t="s">
        <v>1413</v>
      </c>
      <c r="P102" s="189">
        <v>5096776.0799999991</v>
      </c>
      <c r="Q102" s="189">
        <v>0</v>
      </c>
      <c r="R102" s="189">
        <v>0</v>
      </c>
      <c r="S102" s="189">
        <f t="shared" si="14"/>
        <v>5096776.0799999991</v>
      </c>
      <c r="T102" s="189">
        <f t="shared" si="10"/>
        <v>2233.9877710423539</v>
      </c>
      <c r="U102" s="189">
        <f>T102</f>
        <v>2233.9877710423539</v>
      </c>
      <c r="V102" s="170">
        <f t="shared" si="15"/>
        <v>0</v>
      </c>
      <c r="W102" s="170"/>
      <c r="X102" s="170"/>
      <c r="Y102" s="173">
        <f t="shared" si="16"/>
        <v>2298.629278491499</v>
      </c>
      <c r="AA102" s="173">
        <f t="shared" si="11"/>
        <v>1004.3</v>
      </c>
      <c r="AC102" s="173" t="s">
        <v>405</v>
      </c>
      <c r="AD102" s="173">
        <v>1120</v>
      </c>
      <c r="AH102" s="173" t="e">
        <f t="shared" si="12"/>
        <v>#N/A</v>
      </c>
      <c r="AJ102" s="173" t="s">
        <v>692</v>
      </c>
      <c r="AK102" s="173">
        <v>2768.5</v>
      </c>
      <c r="AS102" s="173" t="e">
        <f t="shared" si="13"/>
        <v>#N/A</v>
      </c>
    </row>
    <row r="103" spans="1:45" s="173" customFormat="1" ht="36" customHeight="1" x14ac:dyDescent="0.9">
      <c r="A103" s="173">
        <v>1</v>
      </c>
      <c r="B103" s="91">
        <f>SUBTOTAL(103,$A$16:A103)</f>
        <v>88</v>
      </c>
      <c r="C103" s="90" t="s">
        <v>1585</v>
      </c>
      <c r="D103" s="185">
        <v>1962</v>
      </c>
      <c r="E103" s="185"/>
      <c r="F103" s="191" t="s">
        <v>273</v>
      </c>
      <c r="G103" s="185">
        <v>5</v>
      </c>
      <c r="H103" s="185">
        <v>4</v>
      </c>
      <c r="I103" s="189">
        <v>3481.5</v>
      </c>
      <c r="J103" s="189">
        <v>3396.3</v>
      </c>
      <c r="K103" s="189">
        <v>3181.1</v>
      </c>
      <c r="L103" s="187">
        <v>89</v>
      </c>
      <c r="M103" s="185" t="s">
        <v>271</v>
      </c>
      <c r="N103" s="185" t="s">
        <v>275</v>
      </c>
      <c r="O103" s="188" t="s">
        <v>1688</v>
      </c>
      <c r="P103" s="189">
        <v>3789473.9</v>
      </c>
      <c r="Q103" s="189">
        <v>0</v>
      </c>
      <c r="R103" s="189">
        <v>0</v>
      </c>
      <c r="S103" s="189">
        <f t="shared" si="14"/>
        <v>3789473.9</v>
      </c>
      <c r="T103" s="189">
        <f t="shared" si="10"/>
        <v>1088.460117765331</v>
      </c>
      <c r="U103" s="189">
        <f t="shared" si="17"/>
        <v>1585.3633778543733</v>
      </c>
      <c r="V103" s="170">
        <f t="shared" si="15"/>
        <v>496.90326008904231</v>
      </c>
      <c r="W103" s="170"/>
      <c r="X103" s="170"/>
      <c r="Y103" s="173">
        <f t="shared" si="16"/>
        <v>1585.3633778543733</v>
      </c>
      <c r="AA103" s="173">
        <f t="shared" si="11"/>
        <v>1057</v>
      </c>
      <c r="AC103" s="173" t="s">
        <v>406</v>
      </c>
      <c r="AD103" s="173">
        <v>473</v>
      </c>
      <c r="AH103" s="173" t="e">
        <f t="shared" si="12"/>
        <v>#N/A</v>
      </c>
      <c r="AJ103" s="173" t="s">
        <v>1309</v>
      </c>
      <c r="AK103" s="173">
        <v>842.36</v>
      </c>
      <c r="AS103" s="173" t="e">
        <f t="shared" si="13"/>
        <v>#N/A</v>
      </c>
    </row>
    <row r="104" spans="1:45" s="173" customFormat="1" ht="36" customHeight="1" x14ac:dyDescent="0.9">
      <c r="A104" s="173">
        <v>1</v>
      </c>
      <c r="B104" s="91">
        <f>SUBTOTAL(103,$A$16:A104)</f>
        <v>89</v>
      </c>
      <c r="C104" s="90" t="s">
        <v>1575</v>
      </c>
      <c r="D104" s="185">
        <v>1970</v>
      </c>
      <c r="E104" s="185"/>
      <c r="F104" s="191" t="s">
        <v>273</v>
      </c>
      <c r="G104" s="185">
        <v>9</v>
      </c>
      <c r="H104" s="185">
        <v>1</v>
      </c>
      <c r="I104" s="189">
        <v>1920.2</v>
      </c>
      <c r="J104" s="189">
        <v>1849.3</v>
      </c>
      <c r="K104" s="189">
        <v>1849.3</v>
      </c>
      <c r="L104" s="187">
        <v>94</v>
      </c>
      <c r="M104" s="185" t="s">
        <v>271</v>
      </c>
      <c r="N104" s="185" t="s">
        <v>275</v>
      </c>
      <c r="O104" s="188" t="s">
        <v>1413</v>
      </c>
      <c r="P104" s="189">
        <v>597387.81000000006</v>
      </c>
      <c r="Q104" s="189">
        <v>0</v>
      </c>
      <c r="R104" s="189">
        <v>0</v>
      </c>
      <c r="S104" s="189">
        <f t="shared" si="14"/>
        <v>597387.81000000006</v>
      </c>
      <c r="T104" s="189">
        <f t="shared" si="10"/>
        <v>311.10707738777211</v>
      </c>
      <c r="U104" s="189">
        <f t="shared" si="17"/>
        <v>913.71982085199454</v>
      </c>
      <c r="V104" s="170">
        <f t="shared" si="15"/>
        <v>602.61274346422238</v>
      </c>
      <c r="W104" s="170"/>
      <c r="X104" s="170"/>
      <c r="Y104" s="173">
        <f t="shared" si="16"/>
        <v>913.71982085199454</v>
      </c>
      <c r="AA104" s="173">
        <f t="shared" si="11"/>
        <v>336</v>
      </c>
      <c r="AC104" s="173" t="s">
        <v>407</v>
      </c>
      <c r="AD104" s="173">
        <v>550</v>
      </c>
      <c r="AH104" s="173" t="e">
        <f t="shared" si="12"/>
        <v>#N/A</v>
      </c>
      <c r="AJ104" s="173" t="s">
        <v>178</v>
      </c>
      <c r="AK104" s="173">
        <v>459</v>
      </c>
      <c r="AS104" s="173" t="e">
        <f t="shared" si="13"/>
        <v>#N/A</v>
      </c>
    </row>
    <row r="105" spans="1:45" s="173" customFormat="1" ht="36" customHeight="1" x14ac:dyDescent="0.9">
      <c r="A105" s="173">
        <v>1</v>
      </c>
      <c r="B105" s="91">
        <f>SUBTOTAL(103,$A$16:A105)</f>
        <v>90</v>
      </c>
      <c r="C105" s="90" t="s">
        <v>1587</v>
      </c>
      <c r="D105" s="185">
        <v>1976</v>
      </c>
      <c r="E105" s="185"/>
      <c r="F105" s="191" t="s">
        <v>273</v>
      </c>
      <c r="G105" s="185">
        <v>5</v>
      </c>
      <c r="H105" s="185">
        <v>7</v>
      </c>
      <c r="I105" s="189">
        <v>5832</v>
      </c>
      <c r="J105" s="189">
        <v>5789.7</v>
      </c>
      <c r="K105" s="189">
        <v>5389.7</v>
      </c>
      <c r="L105" s="187">
        <v>248</v>
      </c>
      <c r="M105" s="185" t="s">
        <v>271</v>
      </c>
      <c r="N105" s="185" t="s">
        <v>275</v>
      </c>
      <c r="O105" s="188" t="s">
        <v>1411</v>
      </c>
      <c r="P105" s="189">
        <v>5103753.3499999996</v>
      </c>
      <c r="Q105" s="189">
        <v>0</v>
      </c>
      <c r="R105" s="189">
        <v>0</v>
      </c>
      <c r="S105" s="189">
        <f t="shared" si="14"/>
        <v>5103753.3499999996</v>
      </c>
      <c r="T105" s="189">
        <f t="shared" si="10"/>
        <v>875.12917524005479</v>
      </c>
      <c r="U105" s="189">
        <f t="shared" si="17"/>
        <v>1343.0555555555557</v>
      </c>
      <c r="V105" s="170">
        <f t="shared" si="15"/>
        <v>467.92638031550086</v>
      </c>
      <c r="W105" s="170"/>
      <c r="X105" s="170"/>
      <c r="Y105" s="173">
        <f t="shared" si="16"/>
        <v>1343.0555555555557</v>
      </c>
      <c r="AA105" s="173">
        <f t="shared" si="11"/>
        <v>1500</v>
      </c>
      <c r="AC105" s="173" t="s">
        <v>202</v>
      </c>
      <c r="AD105" s="173">
        <v>1330</v>
      </c>
      <c r="AH105" s="173" t="e">
        <f t="shared" si="12"/>
        <v>#N/A</v>
      </c>
      <c r="AJ105" s="173" t="s">
        <v>179</v>
      </c>
      <c r="AK105" s="173">
        <v>425.5</v>
      </c>
      <c r="AS105" s="173" t="e">
        <f t="shared" si="13"/>
        <v>#N/A</v>
      </c>
    </row>
    <row r="106" spans="1:45" s="173" customFormat="1" ht="36" customHeight="1" x14ac:dyDescent="0.9">
      <c r="A106" s="173">
        <v>1</v>
      </c>
      <c r="B106" s="91">
        <f>SUBTOTAL(103,$A$16:A106)</f>
        <v>91</v>
      </c>
      <c r="C106" s="90" t="s">
        <v>1588</v>
      </c>
      <c r="D106" s="185">
        <v>1972</v>
      </c>
      <c r="E106" s="185"/>
      <c r="F106" s="191" t="s">
        <v>273</v>
      </c>
      <c r="G106" s="185">
        <v>5</v>
      </c>
      <c r="H106" s="185">
        <v>8</v>
      </c>
      <c r="I106" s="189">
        <v>7103.6</v>
      </c>
      <c r="J106" s="189">
        <v>6466</v>
      </c>
      <c r="K106" s="189">
        <v>5482.9</v>
      </c>
      <c r="L106" s="187">
        <v>277</v>
      </c>
      <c r="M106" s="185" t="s">
        <v>271</v>
      </c>
      <c r="N106" s="185" t="s">
        <v>275</v>
      </c>
      <c r="O106" s="188" t="s">
        <v>1412</v>
      </c>
      <c r="P106" s="189">
        <v>6433859.5500000007</v>
      </c>
      <c r="Q106" s="189">
        <v>0</v>
      </c>
      <c r="R106" s="189">
        <v>0</v>
      </c>
      <c r="S106" s="189">
        <f t="shared" si="14"/>
        <v>6433859.5500000007</v>
      </c>
      <c r="T106" s="189">
        <f t="shared" si="10"/>
        <v>905.71816402950617</v>
      </c>
      <c r="U106" s="189">
        <f t="shared" si="17"/>
        <v>1417.2575032377949</v>
      </c>
      <c r="V106" s="170">
        <f t="shared" si="15"/>
        <v>511.53933920828877</v>
      </c>
      <c r="W106" s="170"/>
      <c r="X106" s="170"/>
      <c r="Y106" s="173">
        <f t="shared" si="16"/>
        <v>1417.2575032377949</v>
      </c>
      <c r="AA106" s="173">
        <f t="shared" si="11"/>
        <v>1928</v>
      </c>
      <c r="AC106" s="173" t="s">
        <v>409</v>
      </c>
      <c r="AD106" s="173">
        <v>342</v>
      </c>
      <c r="AH106" s="173" t="e">
        <f t="shared" si="12"/>
        <v>#N/A</v>
      </c>
      <c r="AJ106" s="173" t="s">
        <v>195</v>
      </c>
      <c r="AK106" s="173">
        <v>531</v>
      </c>
      <c r="AS106" s="173" t="e">
        <f t="shared" si="13"/>
        <v>#N/A</v>
      </c>
    </row>
    <row r="107" spans="1:45" s="173" customFormat="1" ht="36" customHeight="1" x14ac:dyDescent="0.9">
      <c r="A107" s="173">
        <v>1</v>
      </c>
      <c r="B107" s="91">
        <f>SUBTOTAL(103,$A$16:A107)</f>
        <v>92</v>
      </c>
      <c r="C107" s="90" t="s">
        <v>1576</v>
      </c>
      <c r="D107" s="185">
        <v>1976</v>
      </c>
      <c r="E107" s="185"/>
      <c r="F107" s="191" t="s">
        <v>273</v>
      </c>
      <c r="G107" s="185">
        <v>3</v>
      </c>
      <c r="H107" s="185">
        <v>2</v>
      </c>
      <c r="I107" s="189">
        <v>1182.5999999999999</v>
      </c>
      <c r="J107" s="189">
        <v>1084.5999999999999</v>
      </c>
      <c r="K107" s="189">
        <v>993.3</v>
      </c>
      <c r="L107" s="187">
        <v>59</v>
      </c>
      <c r="M107" s="185" t="s">
        <v>271</v>
      </c>
      <c r="N107" s="185" t="s">
        <v>275</v>
      </c>
      <c r="O107" s="188" t="s">
        <v>1410</v>
      </c>
      <c r="P107" s="189">
        <v>2093149.6</v>
      </c>
      <c r="Q107" s="189">
        <v>0</v>
      </c>
      <c r="R107" s="189">
        <v>0</v>
      </c>
      <c r="S107" s="189">
        <f t="shared" si="14"/>
        <v>2093149.6</v>
      </c>
      <c r="T107" s="189">
        <f t="shared" si="10"/>
        <v>1769.9556908506681</v>
      </c>
      <c r="U107" s="189">
        <f>T107</f>
        <v>1769.9556908506681</v>
      </c>
      <c r="V107" s="170">
        <f t="shared" si="15"/>
        <v>0</v>
      </c>
      <c r="W107" s="170"/>
      <c r="X107" s="170"/>
      <c r="Y107" s="173">
        <f t="shared" si="16"/>
        <v>1699.9771689497718</v>
      </c>
      <c r="AA107" s="173">
        <f t="shared" si="11"/>
        <v>385</v>
      </c>
      <c r="AC107" s="173" t="s">
        <v>410</v>
      </c>
      <c r="AD107" s="173">
        <v>2022</v>
      </c>
      <c r="AH107" s="173" t="e">
        <f t="shared" si="12"/>
        <v>#N/A</v>
      </c>
      <c r="AJ107" s="173" t="s">
        <v>606</v>
      </c>
      <c r="AK107" s="173">
        <v>1536</v>
      </c>
      <c r="AS107" s="173" t="e">
        <f t="shared" si="13"/>
        <v>#N/A</v>
      </c>
    </row>
    <row r="108" spans="1:45" s="173" customFormat="1" ht="36" customHeight="1" x14ac:dyDescent="0.9">
      <c r="A108" s="173">
        <v>1</v>
      </c>
      <c r="B108" s="91">
        <f>SUBTOTAL(103,$A$16:A108)</f>
        <v>93</v>
      </c>
      <c r="C108" s="90" t="s">
        <v>1630</v>
      </c>
      <c r="D108" s="185">
        <v>1959</v>
      </c>
      <c r="E108" s="185"/>
      <c r="F108" s="191" t="s">
        <v>273</v>
      </c>
      <c r="G108" s="185">
        <v>2</v>
      </c>
      <c r="H108" s="185">
        <v>2</v>
      </c>
      <c r="I108" s="189">
        <v>548.9</v>
      </c>
      <c r="J108" s="189">
        <v>548.9</v>
      </c>
      <c r="K108" s="189">
        <v>548.9</v>
      </c>
      <c r="L108" s="187">
        <v>40</v>
      </c>
      <c r="M108" s="185" t="s">
        <v>271</v>
      </c>
      <c r="N108" s="185" t="s">
        <v>275</v>
      </c>
      <c r="O108" s="188" t="s">
        <v>1410</v>
      </c>
      <c r="P108" s="189">
        <v>2139777.0500000003</v>
      </c>
      <c r="Q108" s="189">
        <v>0</v>
      </c>
      <c r="R108" s="189">
        <v>0</v>
      </c>
      <c r="S108" s="189">
        <f t="shared" si="14"/>
        <v>2139777.0500000003</v>
      </c>
      <c r="T108" s="189">
        <f t="shared" si="10"/>
        <v>3898.3003279285849</v>
      </c>
      <c r="U108" s="189">
        <f>T108</f>
        <v>3898.3003279285849</v>
      </c>
      <c r="V108" s="170">
        <f t="shared" si="15"/>
        <v>0</v>
      </c>
      <c r="W108" s="170"/>
      <c r="X108" s="170"/>
      <c r="Y108" s="173">
        <f t="shared" si="16"/>
        <v>3386.7021315357993</v>
      </c>
      <c r="AA108" s="173">
        <f t="shared" si="11"/>
        <v>356</v>
      </c>
      <c r="AC108" s="173" t="s">
        <v>1179</v>
      </c>
      <c r="AD108" s="173">
        <v>331</v>
      </c>
      <c r="AH108" s="173" t="e">
        <f t="shared" si="12"/>
        <v>#N/A</v>
      </c>
      <c r="AJ108" s="173" t="s">
        <v>609</v>
      </c>
      <c r="AK108" s="173">
        <v>1425</v>
      </c>
      <c r="AS108" s="173" t="e">
        <f t="shared" si="13"/>
        <v>#N/A</v>
      </c>
    </row>
    <row r="109" spans="1:45" s="173" customFormat="1" ht="36" customHeight="1" x14ac:dyDescent="0.9">
      <c r="A109" s="173">
        <v>1</v>
      </c>
      <c r="B109" s="91">
        <f>SUBTOTAL(103,$A$16:A109)</f>
        <v>94</v>
      </c>
      <c r="C109" s="90" t="s">
        <v>1632</v>
      </c>
      <c r="D109" s="185">
        <v>1970</v>
      </c>
      <c r="E109" s="185"/>
      <c r="F109" s="191" t="s">
        <v>273</v>
      </c>
      <c r="G109" s="185">
        <v>5</v>
      </c>
      <c r="H109" s="185">
        <v>4</v>
      </c>
      <c r="I109" s="189">
        <v>3506.9</v>
      </c>
      <c r="J109" s="189">
        <v>3386.1</v>
      </c>
      <c r="K109" s="189">
        <v>3356</v>
      </c>
      <c r="L109" s="187">
        <v>175</v>
      </c>
      <c r="M109" s="185" t="s">
        <v>271</v>
      </c>
      <c r="N109" s="185" t="s">
        <v>275</v>
      </c>
      <c r="O109" s="188" t="s">
        <v>1636</v>
      </c>
      <c r="P109" s="189">
        <v>4640895.0699999994</v>
      </c>
      <c r="Q109" s="189">
        <v>0</v>
      </c>
      <c r="R109" s="189">
        <v>0</v>
      </c>
      <c r="S109" s="189">
        <f t="shared" si="14"/>
        <v>4640895.0699999994</v>
      </c>
      <c r="T109" s="189">
        <f t="shared" si="10"/>
        <v>1323.3611081011718</v>
      </c>
      <c r="U109" s="189">
        <f t="shared" si="17"/>
        <v>1666.199264307508</v>
      </c>
      <c r="V109" s="170">
        <f t="shared" si="15"/>
        <v>342.83815620633618</v>
      </c>
      <c r="W109" s="170"/>
      <c r="X109" s="170"/>
      <c r="Y109" s="173">
        <f t="shared" si="16"/>
        <v>1666.199264307508</v>
      </c>
      <c r="AA109" s="173">
        <f t="shared" si="11"/>
        <v>1119</v>
      </c>
      <c r="AC109" s="173" t="s">
        <v>1186</v>
      </c>
      <c r="AD109" s="173">
        <v>477</v>
      </c>
      <c r="AH109" s="173" t="e">
        <f t="shared" si="12"/>
        <v>#N/A</v>
      </c>
      <c r="AJ109" s="173" t="s">
        <v>436</v>
      </c>
      <c r="AK109" s="173">
        <v>1050</v>
      </c>
      <c r="AS109" s="173" t="e">
        <f t="shared" si="13"/>
        <v>#N/A</v>
      </c>
    </row>
    <row r="110" spans="1:45" s="173" customFormat="1" ht="36" customHeight="1" x14ac:dyDescent="0.9">
      <c r="A110" s="173">
        <v>1</v>
      </c>
      <c r="B110" s="91">
        <f>SUBTOTAL(103,$A$16:A110)</f>
        <v>95</v>
      </c>
      <c r="C110" s="90" t="s">
        <v>1633</v>
      </c>
      <c r="D110" s="185">
        <v>1960</v>
      </c>
      <c r="E110" s="185"/>
      <c r="F110" s="191" t="s">
        <v>273</v>
      </c>
      <c r="G110" s="185">
        <v>4</v>
      </c>
      <c r="H110" s="185">
        <v>2</v>
      </c>
      <c r="I110" s="189">
        <v>1387.7</v>
      </c>
      <c r="J110" s="189">
        <v>1266.5999999999999</v>
      </c>
      <c r="K110" s="189">
        <v>1266.5999999999999</v>
      </c>
      <c r="L110" s="187">
        <v>80</v>
      </c>
      <c r="M110" s="185" t="s">
        <v>271</v>
      </c>
      <c r="N110" s="185" t="s">
        <v>275</v>
      </c>
      <c r="O110" s="188" t="s">
        <v>1410</v>
      </c>
      <c r="P110" s="189">
        <v>2739411.65</v>
      </c>
      <c r="Q110" s="189">
        <v>0</v>
      </c>
      <c r="R110" s="189">
        <v>0</v>
      </c>
      <c r="S110" s="189">
        <f t="shared" si="14"/>
        <v>2739411.65</v>
      </c>
      <c r="T110" s="189">
        <f t="shared" si="10"/>
        <v>1974.0661886574908</v>
      </c>
      <c r="U110" s="189">
        <f>AG110</f>
        <v>4770.3733939681042</v>
      </c>
      <c r="V110" s="170">
        <f t="shared" si="15"/>
        <v>2796.3072053106134</v>
      </c>
      <c r="W110" s="170"/>
      <c r="X110" s="170"/>
      <c r="Y110" s="173" t="e">
        <f t="shared" si="16"/>
        <v>#N/A</v>
      </c>
      <c r="AA110" s="173" t="e">
        <f t="shared" si="11"/>
        <v>#N/A</v>
      </c>
      <c r="AC110" s="173" t="s">
        <v>1321</v>
      </c>
      <c r="AD110" s="173">
        <v>590</v>
      </c>
      <c r="AG110" s="173">
        <f>AH110*6191.24/J110</f>
        <v>4770.3733939681042</v>
      </c>
      <c r="AH110" s="173">
        <f t="shared" si="12"/>
        <v>975.92</v>
      </c>
      <c r="AJ110" s="173" t="s">
        <v>815</v>
      </c>
      <c r="AK110" s="173">
        <v>626</v>
      </c>
      <c r="AS110" s="173" t="e">
        <f t="shared" si="13"/>
        <v>#N/A</v>
      </c>
    </row>
    <row r="111" spans="1:45" s="173" customFormat="1" ht="36" customHeight="1" x14ac:dyDescent="0.9">
      <c r="A111" s="173">
        <v>1</v>
      </c>
      <c r="B111" s="91">
        <f>SUBTOTAL(103,$A$16:A111)</f>
        <v>96</v>
      </c>
      <c r="C111" s="90" t="s">
        <v>1634</v>
      </c>
      <c r="D111" s="185">
        <v>1961</v>
      </c>
      <c r="E111" s="185"/>
      <c r="F111" s="191" t="s">
        <v>273</v>
      </c>
      <c r="G111" s="185">
        <v>4</v>
      </c>
      <c r="H111" s="185">
        <v>2</v>
      </c>
      <c r="I111" s="189">
        <v>1276.7</v>
      </c>
      <c r="J111" s="189">
        <v>1276.7</v>
      </c>
      <c r="K111" s="189">
        <v>1232.9000000000001</v>
      </c>
      <c r="L111" s="187">
        <v>80</v>
      </c>
      <c r="M111" s="185" t="s">
        <v>271</v>
      </c>
      <c r="N111" s="185" t="s">
        <v>275</v>
      </c>
      <c r="O111" s="188" t="s">
        <v>1637</v>
      </c>
      <c r="P111" s="189">
        <v>3080924.7199999997</v>
      </c>
      <c r="Q111" s="189">
        <v>0</v>
      </c>
      <c r="R111" s="189">
        <v>0</v>
      </c>
      <c r="S111" s="189">
        <f t="shared" si="14"/>
        <v>3080924.7199999997</v>
      </c>
      <c r="T111" s="189">
        <f t="shared" si="10"/>
        <v>2413.1939531604917</v>
      </c>
      <c r="U111" s="189">
        <f>Y111</f>
        <v>2891.683715829874</v>
      </c>
      <c r="V111" s="170">
        <f t="shared" si="15"/>
        <v>478.48976266938234</v>
      </c>
      <c r="W111" s="170"/>
      <c r="X111" s="170"/>
      <c r="Y111" s="173">
        <f t="shared" si="16"/>
        <v>2891.683715829874</v>
      </c>
      <c r="AA111" s="173">
        <f t="shared" si="11"/>
        <v>707</v>
      </c>
      <c r="AC111" s="173" t="s">
        <v>1322</v>
      </c>
      <c r="AD111" s="173">
        <v>665</v>
      </c>
      <c r="AH111" s="173" t="e">
        <f t="shared" si="12"/>
        <v>#N/A</v>
      </c>
      <c r="AJ111" s="173" t="s">
        <v>838</v>
      </c>
      <c r="AK111" s="173">
        <v>360</v>
      </c>
      <c r="AS111" s="173" t="e">
        <f t="shared" si="13"/>
        <v>#N/A</v>
      </c>
    </row>
    <row r="112" spans="1:45" s="173" customFormat="1" ht="36" customHeight="1" x14ac:dyDescent="0.9">
      <c r="A112" s="173">
        <v>1</v>
      </c>
      <c r="B112" s="91">
        <f>SUBTOTAL(103,$A$16:A112)</f>
        <v>97</v>
      </c>
      <c r="C112" s="90" t="s">
        <v>1635</v>
      </c>
      <c r="D112" s="185">
        <v>1953</v>
      </c>
      <c r="E112" s="185"/>
      <c r="F112" s="191" t="s">
        <v>273</v>
      </c>
      <c r="G112" s="185">
        <v>2</v>
      </c>
      <c r="H112" s="185">
        <v>2</v>
      </c>
      <c r="I112" s="189">
        <v>620.29999999999995</v>
      </c>
      <c r="J112" s="189">
        <v>581.20000000000005</v>
      </c>
      <c r="K112" s="189">
        <v>581.20000000000005</v>
      </c>
      <c r="L112" s="187">
        <v>30</v>
      </c>
      <c r="M112" s="185" t="s">
        <v>271</v>
      </c>
      <c r="N112" s="185" t="s">
        <v>275</v>
      </c>
      <c r="O112" s="188" t="s">
        <v>357</v>
      </c>
      <c r="P112" s="189">
        <v>3180464.5600000005</v>
      </c>
      <c r="Q112" s="189">
        <v>0</v>
      </c>
      <c r="R112" s="189">
        <v>0</v>
      </c>
      <c r="S112" s="189">
        <f t="shared" si="14"/>
        <v>3180464.5600000005</v>
      </c>
      <c r="T112" s="189">
        <f t="shared" si="10"/>
        <v>5127.3005964855729</v>
      </c>
      <c r="U112" s="189">
        <f>AG112</f>
        <v>6828.2602202339976</v>
      </c>
      <c r="V112" s="170">
        <f t="shared" si="15"/>
        <v>1700.9596237484247</v>
      </c>
      <c r="W112" s="170"/>
      <c r="X112" s="170"/>
      <c r="Y112" s="173" t="e">
        <f t="shared" si="16"/>
        <v>#N/A</v>
      </c>
      <c r="AA112" s="173" t="e">
        <f t="shared" si="11"/>
        <v>#N/A</v>
      </c>
      <c r="AC112" s="173" t="s">
        <v>1323</v>
      </c>
      <c r="AD112" s="173">
        <v>246</v>
      </c>
      <c r="AG112" s="173">
        <f>AH112*6191.24/J112</f>
        <v>6828.2602202339976</v>
      </c>
      <c r="AH112" s="173">
        <f t="shared" si="12"/>
        <v>641</v>
      </c>
      <c r="AJ112" s="173" t="s">
        <v>395</v>
      </c>
      <c r="AK112" s="173">
        <v>7025.9</v>
      </c>
      <c r="AS112" s="173" t="e">
        <f t="shared" si="13"/>
        <v>#N/A</v>
      </c>
    </row>
    <row r="113" spans="1:45" s="173" customFormat="1" ht="36" customHeight="1" x14ac:dyDescent="0.9">
      <c r="A113" s="173">
        <v>1</v>
      </c>
      <c r="B113" s="91">
        <f>SUBTOTAL(103,$A$16:A113)</f>
        <v>98</v>
      </c>
      <c r="C113" s="90" t="s">
        <v>1657</v>
      </c>
      <c r="D113" s="185">
        <v>1959</v>
      </c>
      <c r="E113" s="185"/>
      <c r="F113" s="191" t="s">
        <v>273</v>
      </c>
      <c r="G113" s="185">
        <v>2</v>
      </c>
      <c r="H113" s="185">
        <v>1</v>
      </c>
      <c r="I113" s="189">
        <v>412.6</v>
      </c>
      <c r="J113" s="189">
        <v>256.39999999999998</v>
      </c>
      <c r="K113" s="189">
        <v>256.39999999999998</v>
      </c>
      <c r="L113" s="187">
        <v>20</v>
      </c>
      <c r="M113" s="185" t="s">
        <v>271</v>
      </c>
      <c r="N113" s="185" t="s">
        <v>275</v>
      </c>
      <c r="O113" s="188" t="s">
        <v>1413</v>
      </c>
      <c r="P113" s="189">
        <v>1538390.57</v>
      </c>
      <c r="Q113" s="189">
        <v>0</v>
      </c>
      <c r="R113" s="189">
        <v>0</v>
      </c>
      <c r="S113" s="189">
        <f t="shared" si="14"/>
        <v>1538390.57</v>
      </c>
      <c r="T113" s="189">
        <f t="shared" si="10"/>
        <v>3728.5277993213767</v>
      </c>
      <c r="U113" s="189">
        <f>Y113</f>
        <v>6353.2321861366936</v>
      </c>
      <c r="V113" s="170">
        <f t="shared" si="15"/>
        <v>2624.7043868153169</v>
      </c>
      <c r="W113" s="170"/>
      <c r="X113" s="170"/>
      <c r="Y113" s="173">
        <f t="shared" si="16"/>
        <v>6353.2321861366936</v>
      </c>
      <c r="AA113" s="173">
        <f t="shared" si="11"/>
        <v>502</v>
      </c>
      <c r="AC113" s="173" t="s">
        <v>1324</v>
      </c>
      <c r="AD113" s="173">
        <v>253</v>
      </c>
      <c r="AH113" s="173" t="e">
        <f t="shared" si="12"/>
        <v>#N/A</v>
      </c>
      <c r="AJ113" s="173" t="s">
        <v>635</v>
      </c>
      <c r="AK113" s="173">
        <v>1159.1199999999999</v>
      </c>
      <c r="AS113" s="173" t="e">
        <f t="shared" si="13"/>
        <v>#N/A</v>
      </c>
    </row>
    <row r="114" spans="1:45" s="173" customFormat="1" ht="36" customHeight="1" x14ac:dyDescent="0.9">
      <c r="A114" s="173">
        <v>1</v>
      </c>
      <c r="B114" s="91">
        <f>SUBTOTAL(103,$A$16:A114)</f>
        <v>99</v>
      </c>
      <c r="C114" s="90" t="s">
        <v>1658</v>
      </c>
      <c r="D114" s="185">
        <v>1984</v>
      </c>
      <c r="E114" s="185"/>
      <c r="F114" s="191" t="s">
        <v>319</v>
      </c>
      <c r="G114" s="185">
        <v>14</v>
      </c>
      <c r="H114" s="185">
        <v>1</v>
      </c>
      <c r="I114" s="189">
        <v>4285.8999999999996</v>
      </c>
      <c r="J114" s="189">
        <v>4230</v>
      </c>
      <c r="K114" s="189">
        <v>3928.3</v>
      </c>
      <c r="L114" s="187">
        <v>191</v>
      </c>
      <c r="M114" s="185" t="s">
        <v>271</v>
      </c>
      <c r="N114" s="185" t="s">
        <v>275</v>
      </c>
      <c r="O114" s="188" t="s">
        <v>1412</v>
      </c>
      <c r="P114" s="189">
        <v>2840286.39</v>
      </c>
      <c r="Q114" s="189">
        <v>0</v>
      </c>
      <c r="R114" s="189">
        <v>0</v>
      </c>
      <c r="S114" s="189">
        <f t="shared" si="14"/>
        <v>2840286.39</v>
      </c>
      <c r="T114" s="189">
        <f t="shared" si="10"/>
        <v>662.7047737931357</v>
      </c>
      <c r="U114" s="189">
        <f>T114</f>
        <v>662.7047737931357</v>
      </c>
      <c r="V114" s="170">
        <f t="shared" si="15"/>
        <v>0</v>
      </c>
      <c r="W114" s="170"/>
      <c r="X114" s="170"/>
      <c r="Y114" s="173" t="e">
        <f t="shared" si="16"/>
        <v>#N/A</v>
      </c>
      <c r="AA114" s="173" t="e">
        <f t="shared" si="11"/>
        <v>#N/A</v>
      </c>
      <c r="AC114" s="173" t="s">
        <v>1595</v>
      </c>
      <c r="AD114" s="173">
        <v>792</v>
      </c>
      <c r="AH114" s="173" t="e">
        <f t="shared" si="12"/>
        <v>#N/A</v>
      </c>
      <c r="AJ114" s="173" t="s">
        <v>668</v>
      </c>
      <c r="AK114" s="173">
        <v>782.6</v>
      </c>
      <c r="AR114" s="173">
        <f>AS114*2492917/I114</f>
        <v>581.6554282647752</v>
      </c>
      <c r="AS114" s="173">
        <f t="shared" si="13"/>
        <v>1</v>
      </c>
    </row>
    <row r="115" spans="1:45" s="173" customFormat="1" ht="36" customHeight="1" x14ac:dyDescent="0.9">
      <c r="A115" s="173">
        <v>1</v>
      </c>
      <c r="B115" s="91">
        <f>SUBTOTAL(103,$A$16:A115)</f>
        <v>100</v>
      </c>
      <c r="C115" s="90" t="s">
        <v>1659</v>
      </c>
      <c r="D115" s="185">
        <v>1962</v>
      </c>
      <c r="E115" s="185"/>
      <c r="F115" s="191" t="s">
        <v>273</v>
      </c>
      <c r="G115" s="185">
        <v>2</v>
      </c>
      <c r="H115" s="185">
        <v>2</v>
      </c>
      <c r="I115" s="189">
        <v>653.29999999999995</v>
      </c>
      <c r="J115" s="189">
        <v>458.8</v>
      </c>
      <c r="K115" s="189">
        <v>416.1</v>
      </c>
      <c r="L115" s="187">
        <v>50</v>
      </c>
      <c r="M115" s="185" t="s">
        <v>271</v>
      </c>
      <c r="N115" s="185" t="s">
        <v>275</v>
      </c>
      <c r="O115" s="188" t="s">
        <v>1413</v>
      </c>
      <c r="P115" s="189">
        <v>2380804.91</v>
      </c>
      <c r="Q115" s="189">
        <v>0</v>
      </c>
      <c r="R115" s="189">
        <v>0</v>
      </c>
      <c r="S115" s="189">
        <f>P115-R115-Q115</f>
        <v>2380804.91</v>
      </c>
      <c r="T115" s="189">
        <f t="shared" si="10"/>
        <v>3644.2750803612435</v>
      </c>
      <c r="U115" s="189">
        <f>Y115</f>
        <v>5315.3176182458292</v>
      </c>
      <c r="V115" s="170">
        <f t="shared" si="15"/>
        <v>1671.0425378845857</v>
      </c>
      <c r="W115" s="170"/>
      <c r="X115" s="170"/>
      <c r="Y115" s="173">
        <f t="shared" si="16"/>
        <v>5315.3176182458292</v>
      </c>
      <c r="AA115" s="173">
        <f t="shared" si="11"/>
        <v>665</v>
      </c>
      <c r="AC115" s="173" t="s">
        <v>1607</v>
      </c>
      <c r="AD115" s="173">
        <v>504</v>
      </c>
      <c r="AH115" s="173" t="e">
        <f t="shared" si="12"/>
        <v>#N/A</v>
      </c>
      <c r="AJ115" s="173" t="s">
        <v>712</v>
      </c>
      <c r="AK115" s="173">
        <v>787</v>
      </c>
      <c r="AS115" s="173" t="e">
        <f t="shared" si="13"/>
        <v>#N/A</v>
      </c>
    </row>
    <row r="116" spans="1:45" s="173" customFormat="1" ht="36" customHeight="1" x14ac:dyDescent="0.9">
      <c r="A116" s="173">
        <v>1</v>
      </c>
      <c r="B116" s="91">
        <f>SUBTOTAL(103,$A$16:A116)</f>
        <v>101</v>
      </c>
      <c r="C116" s="90" t="s">
        <v>1149</v>
      </c>
      <c r="D116" s="185">
        <v>1962</v>
      </c>
      <c r="E116" s="185"/>
      <c r="F116" s="191" t="s">
        <v>273</v>
      </c>
      <c r="G116" s="185">
        <v>4</v>
      </c>
      <c r="H116" s="185">
        <v>3</v>
      </c>
      <c r="I116" s="186">
        <v>2680.2</v>
      </c>
      <c r="J116" s="186">
        <v>1990.4</v>
      </c>
      <c r="K116" s="186">
        <v>1918.2</v>
      </c>
      <c r="L116" s="187">
        <v>88</v>
      </c>
      <c r="M116" s="185" t="s">
        <v>271</v>
      </c>
      <c r="N116" s="185" t="s">
        <v>275</v>
      </c>
      <c r="O116" s="188" t="s">
        <v>1689</v>
      </c>
      <c r="P116" s="189">
        <v>3669425.82</v>
      </c>
      <c r="Q116" s="189">
        <v>0</v>
      </c>
      <c r="R116" s="189">
        <v>0</v>
      </c>
      <c r="S116" s="189">
        <f>P116-Q116-R116</f>
        <v>3669425.82</v>
      </c>
      <c r="T116" s="189">
        <f t="shared" si="10"/>
        <v>1369.0865681665548</v>
      </c>
      <c r="U116" s="189">
        <f>AG116</f>
        <v>5532.1143187299031</v>
      </c>
      <c r="V116" s="170">
        <f>U116-T116</f>
        <v>4163.0277505633485</v>
      </c>
      <c r="W116" s="170"/>
      <c r="X116" s="170"/>
      <c r="Y116" s="173" t="e">
        <f>AA116*5221.8/I116</f>
        <v>#N/A</v>
      </c>
      <c r="AA116" s="173" t="e">
        <f t="shared" si="11"/>
        <v>#N/A</v>
      </c>
      <c r="AC116" s="173" t="s">
        <v>181</v>
      </c>
      <c r="AD116" s="173">
        <v>242</v>
      </c>
      <c r="AG116" s="173">
        <f>AH116*6191.24/J116</f>
        <v>5532.1143187299031</v>
      </c>
      <c r="AH116" s="173">
        <f t="shared" si="12"/>
        <v>1778.5</v>
      </c>
      <c r="AS116" s="173" t="e">
        <f t="shared" si="13"/>
        <v>#N/A</v>
      </c>
    </row>
    <row r="117" spans="1:45" s="173" customFormat="1" ht="36" customHeight="1" x14ac:dyDescent="0.9">
      <c r="B117" s="90" t="s">
        <v>781</v>
      </c>
      <c r="C117" s="192"/>
      <c r="D117" s="185" t="s">
        <v>915</v>
      </c>
      <c r="E117" s="185" t="s">
        <v>915</v>
      </c>
      <c r="F117" s="185" t="s">
        <v>915</v>
      </c>
      <c r="G117" s="185" t="s">
        <v>915</v>
      </c>
      <c r="H117" s="185" t="s">
        <v>915</v>
      </c>
      <c r="I117" s="186">
        <f>SUM(I118:I149)</f>
        <v>57208.5</v>
      </c>
      <c r="J117" s="186">
        <f>SUM(J118:J149)</f>
        <v>51290.5</v>
      </c>
      <c r="K117" s="186">
        <f>SUM(K118:K149)</f>
        <v>45684.500000000007</v>
      </c>
      <c r="L117" s="187">
        <f>SUM(L118:L149)</f>
        <v>2332</v>
      </c>
      <c r="M117" s="185" t="s">
        <v>915</v>
      </c>
      <c r="N117" s="185" t="s">
        <v>915</v>
      </c>
      <c r="O117" s="188" t="s">
        <v>915</v>
      </c>
      <c r="P117" s="186">
        <v>89338725.269999981</v>
      </c>
      <c r="Q117" s="186">
        <f>SUM(Q118:Q149)</f>
        <v>0</v>
      </c>
      <c r="R117" s="186">
        <f>SUM(R118:R149)</f>
        <v>0</v>
      </c>
      <c r="S117" s="186">
        <f>SUM(S118:S149)</f>
        <v>89338725.269999981</v>
      </c>
      <c r="T117" s="189">
        <f t="shared" si="10"/>
        <v>1561.633765436954</v>
      </c>
      <c r="U117" s="189">
        <f>MAX(U118:U149)</f>
        <v>16377.494389328887</v>
      </c>
      <c r="V117" s="170">
        <f t="shared" si="15"/>
        <v>14815.860623891933</v>
      </c>
      <c r="W117" s="170"/>
      <c r="X117" s="170"/>
      <c r="Y117" s="173" t="e">
        <f t="shared" si="16"/>
        <v>#N/A</v>
      </c>
      <c r="AA117" s="173" t="e">
        <f t="shared" si="11"/>
        <v>#N/A</v>
      </c>
      <c r="AC117" s="173" t="s">
        <v>1608</v>
      </c>
      <c r="AD117" s="173">
        <v>630</v>
      </c>
      <c r="AH117" s="173" t="e">
        <f t="shared" si="12"/>
        <v>#N/A</v>
      </c>
      <c r="AJ117" s="173" t="s">
        <v>693</v>
      </c>
      <c r="AK117" s="173">
        <v>585.5</v>
      </c>
      <c r="AS117" s="173" t="e">
        <f t="shared" si="13"/>
        <v>#N/A</v>
      </c>
    </row>
    <row r="118" spans="1:45" s="173" customFormat="1" ht="61.5" x14ac:dyDescent="0.9">
      <c r="A118" s="173">
        <v>1</v>
      </c>
      <c r="B118" s="91">
        <f>SUBTOTAL(103,$A$16:A118)</f>
        <v>102</v>
      </c>
      <c r="C118" s="90" t="s">
        <v>453</v>
      </c>
      <c r="D118" s="185">
        <v>1966</v>
      </c>
      <c r="E118" s="185"/>
      <c r="F118" s="191" t="s">
        <v>273</v>
      </c>
      <c r="G118" s="185">
        <v>2</v>
      </c>
      <c r="H118" s="185">
        <v>2</v>
      </c>
      <c r="I118" s="189">
        <v>774.9</v>
      </c>
      <c r="J118" s="189">
        <v>707.3</v>
      </c>
      <c r="K118" s="189">
        <v>707.3</v>
      </c>
      <c r="L118" s="187">
        <v>39</v>
      </c>
      <c r="M118" s="185" t="s">
        <v>271</v>
      </c>
      <c r="N118" s="185" t="s">
        <v>275</v>
      </c>
      <c r="O118" s="188" t="s">
        <v>348</v>
      </c>
      <c r="P118" s="189">
        <v>3009959</v>
      </c>
      <c r="Q118" s="189">
        <v>0</v>
      </c>
      <c r="R118" s="189">
        <v>0</v>
      </c>
      <c r="S118" s="189">
        <f t="shared" ref="S118:S148" si="18">P118-Q118-R118</f>
        <v>3009959</v>
      </c>
      <c r="T118" s="189">
        <f t="shared" si="10"/>
        <v>3884.319267002194</v>
      </c>
      <c r="U118" s="189">
        <f>Y118</f>
        <v>4029.7282229965158</v>
      </c>
      <c r="V118" s="170">
        <f t="shared" si="15"/>
        <v>145.40895599432179</v>
      </c>
      <c r="W118" s="170"/>
      <c r="X118" s="170"/>
      <c r="Y118" s="173">
        <f t="shared" si="16"/>
        <v>4029.7282229965158</v>
      </c>
      <c r="AA118" s="173">
        <f t="shared" si="11"/>
        <v>598</v>
      </c>
      <c r="AC118" s="173" t="s">
        <v>1638</v>
      </c>
      <c r="AD118" s="173">
        <v>826</v>
      </c>
      <c r="AH118" s="173" t="e">
        <f t="shared" si="12"/>
        <v>#N/A</v>
      </c>
      <c r="AJ118" s="173" t="s">
        <v>250</v>
      </c>
      <c r="AK118" s="173">
        <v>568.70000000000005</v>
      </c>
      <c r="AS118" s="173" t="e">
        <f t="shared" si="13"/>
        <v>#N/A</v>
      </c>
    </row>
    <row r="119" spans="1:45" s="173" customFormat="1" ht="36" customHeight="1" x14ac:dyDescent="0.9">
      <c r="A119" s="173">
        <v>1</v>
      </c>
      <c r="B119" s="91">
        <f>SUBTOTAL(103,$A$16:A119)</f>
        <v>103</v>
      </c>
      <c r="C119" s="90" t="s">
        <v>454</v>
      </c>
      <c r="D119" s="185">
        <v>1959</v>
      </c>
      <c r="E119" s="185"/>
      <c r="F119" s="191" t="s">
        <v>273</v>
      </c>
      <c r="G119" s="185">
        <v>2</v>
      </c>
      <c r="H119" s="185">
        <v>2</v>
      </c>
      <c r="I119" s="189">
        <v>680.5</v>
      </c>
      <c r="J119" s="189">
        <v>632.1</v>
      </c>
      <c r="K119" s="189">
        <v>632.1</v>
      </c>
      <c r="L119" s="187">
        <v>38</v>
      </c>
      <c r="M119" s="185" t="s">
        <v>271</v>
      </c>
      <c r="N119" s="185" t="s">
        <v>272</v>
      </c>
      <c r="O119" s="188" t="s">
        <v>274</v>
      </c>
      <c r="P119" s="189">
        <v>3099944.98</v>
      </c>
      <c r="Q119" s="189">
        <v>0</v>
      </c>
      <c r="R119" s="189">
        <v>0</v>
      </c>
      <c r="S119" s="189">
        <f t="shared" si="18"/>
        <v>3099944.98</v>
      </c>
      <c r="T119" s="189">
        <f t="shared" si="10"/>
        <v>4555.3930639235859</v>
      </c>
      <c r="U119" s="189">
        <f>T119</f>
        <v>4555.3930639235859</v>
      </c>
      <c r="V119" s="170">
        <f t="shared" si="15"/>
        <v>0</v>
      </c>
      <c r="W119" s="170"/>
      <c r="X119" s="170"/>
      <c r="Y119" s="173">
        <f t="shared" si="16"/>
        <v>4544.2321234386491</v>
      </c>
      <c r="AA119" s="173">
        <f t="shared" si="11"/>
        <v>592.20000000000005</v>
      </c>
      <c r="AC119" s="173" t="s">
        <v>787</v>
      </c>
      <c r="AD119" s="173">
        <v>510</v>
      </c>
      <c r="AH119" s="173" t="e">
        <f t="shared" si="12"/>
        <v>#N/A</v>
      </c>
      <c r="AJ119" s="173" t="s">
        <v>183</v>
      </c>
      <c r="AK119" s="173">
        <v>437</v>
      </c>
      <c r="AS119" s="173" t="e">
        <f t="shared" si="13"/>
        <v>#N/A</v>
      </c>
    </row>
    <row r="120" spans="1:45" s="173" customFormat="1" ht="36" customHeight="1" x14ac:dyDescent="0.9">
      <c r="A120" s="173">
        <v>1</v>
      </c>
      <c r="B120" s="91">
        <f>SUBTOTAL(103,$A$16:A120)</f>
        <v>104</v>
      </c>
      <c r="C120" s="90" t="s">
        <v>455</v>
      </c>
      <c r="D120" s="185">
        <v>1958</v>
      </c>
      <c r="E120" s="185"/>
      <c r="F120" s="191" t="s">
        <v>273</v>
      </c>
      <c r="G120" s="185">
        <v>2</v>
      </c>
      <c r="H120" s="185">
        <v>2</v>
      </c>
      <c r="I120" s="189">
        <v>615.29999999999995</v>
      </c>
      <c r="J120" s="189">
        <v>568.6</v>
      </c>
      <c r="K120" s="189">
        <v>492.1</v>
      </c>
      <c r="L120" s="187">
        <v>25</v>
      </c>
      <c r="M120" s="185" t="s">
        <v>271</v>
      </c>
      <c r="N120" s="185" t="s">
        <v>272</v>
      </c>
      <c r="O120" s="188" t="s">
        <v>274</v>
      </c>
      <c r="P120" s="189">
        <v>59874.84</v>
      </c>
      <c r="Q120" s="189">
        <v>0</v>
      </c>
      <c r="R120" s="189">
        <v>0</v>
      </c>
      <c r="S120" s="189">
        <f>P120-Q120-R120</f>
        <v>59874.84</v>
      </c>
      <c r="T120" s="189">
        <f t="shared" si="10"/>
        <v>97.309995124329603</v>
      </c>
      <c r="U120" s="189">
        <f>T120</f>
        <v>97.309995124329603</v>
      </c>
      <c r="V120" s="170">
        <f t="shared" si="15"/>
        <v>0</v>
      </c>
      <c r="W120" s="170"/>
      <c r="X120" s="170"/>
      <c r="Y120" s="173">
        <f t="shared" si="16"/>
        <v>4485.1638225255983</v>
      </c>
      <c r="AA120" s="173">
        <f t="shared" si="11"/>
        <v>528.5</v>
      </c>
      <c r="AC120" s="173" t="s">
        <v>788</v>
      </c>
      <c r="AD120" s="173">
        <v>265</v>
      </c>
      <c r="AH120" s="173" t="e">
        <f t="shared" si="12"/>
        <v>#N/A</v>
      </c>
      <c r="AJ120" s="173" t="s">
        <v>817</v>
      </c>
      <c r="AK120" s="173">
        <v>322</v>
      </c>
      <c r="AS120" s="173" t="e">
        <f t="shared" si="13"/>
        <v>#N/A</v>
      </c>
    </row>
    <row r="121" spans="1:45" s="173" customFormat="1" ht="36" customHeight="1" x14ac:dyDescent="0.9">
      <c r="A121" s="173">
        <v>1</v>
      </c>
      <c r="B121" s="91">
        <f>SUBTOTAL(103,$A$16:A121)</f>
        <v>105</v>
      </c>
      <c r="C121" s="90" t="s">
        <v>456</v>
      </c>
      <c r="D121" s="185">
        <v>1969</v>
      </c>
      <c r="E121" s="185"/>
      <c r="F121" s="191" t="s">
        <v>273</v>
      </c>
      <c r="G121" s="185">
        <v>2</v>
      </c>
      <c r="H121" s="185">
        <v>2</v>
      </c>
      <c r="I121" s="189">
        <v>725.2</v>
      </c>
      <c r="J121" s="189">
        <v>674.9</v>
      </c>
      <c r="K121" s="189">
        <v>506.2</v>
      </c>
      <c r="L121" s="187">
        <v>25</v>
      </c>
      <c r="M121" s="185" t="s">
        <v>271</v>
      </c>
      <c r="N121" s="185" t="s">
        <v>272</v>
      </c>
      <c r="O121" s="188" t="s">
        <v>274</v>
      </c>
      <c r="P121" s="189">
        <v>66096.710000000006</v>
      </c>
      <c r="Q121" s="189">
        <v>0</v>
      </c>
      <c r="R121" s="189">
        <v>0</v>
      </c>
      <c r="S121" s="189">
        <f>P121-Q121-R121</f>
        <v>66096.710000000006</v>
      </c>
      <c r="T121" s="189">
        <f t="shared" si="10"/>
        <v>91.142733039161612</v>
      </c>
      <c r="U121" s="189">
        <f>T121</f>
        <v>91.142733039161612</v>
      </c>
      <c r="V121" s="170">
        <f t="shared" si="15"/>
        <v>0</v>
      </c>
      <c r="W121" s="170"/>
      <c r="X121" s="170"/>
      <c r="Y121" s="173">
        <f t="shared" si="16"/>
        <v>6120.4219525648095</v>
      </c>
      <c r="AA121" s="173">
        <f t="shared" si="11"/>
        <v>850</v>
      </c>
      <c r="AC121" s="173" t="s">
        <v>794</v>
      </c>
      <c r="AD121" s="173">
        <v>675</v>
      </c>
      <c r="AH121" s="173" t="e">
        <f t="shared" si="12"/>
        <v>#N/A</v>
      </c>
      <c r="AJ121" s="173" t="s">
        <v>168</v>
      </c>
      <c r="AK121" s="173">
        <v>98</v>
      </c>
      <c r="AS121" s="173" t="e">
        <f t="shared" si="13"/>
        <v>#N/A</v>
      </c>
    </row>
    <row r="122" spans="1:45" s="173" customFormat="1" ht="36" customHeight="1" x14ac:dyDescent="0.9">
      <c r="A122" s="173">
        <v>1</v>
      </c>
      <c r="B122" s="91">
        <f>SUBTOTAL(103,$A$16:A122)</f>
        <v>106</v>
      </c>
      <c r="C122" s="90" t="s">
        <v>457</v>
      </c>
      <c r="D122" s="185">
        <v>1959</v>
      </c>
      <c r="E122" s="185"/>
      <c r="F122" s="191" t="s">
        <v>273</v>
      </c>
      <c r="G122" s="185">
        <v>2</v>
      </c>
      <c r="H122" s="185">
        <v>2</v>
      </c>
      <c r="I122" s="189">
        <v>654.20000000000005</v>
      </c>
      <c r="J122" s="189">
        <v>602.9</v>
      </c>
      <c r="K122" s="189">
        <v>534.79999999999995</v>
      </c>
      <c r="L122" s="187">
        <v>34</v>
      </c>
      <c r="M122" s="185" t="s">
        <v>271</v>
      </c>
      <c r="N122" s="185" t="s">
        <v>272</v>
      </c>
      <c r="O122" s="188" t="s">
        <v>274</v>
      </c>
      <c r="P122" s="189">
        <v>2958496.97</v>
      </c>
      <c r="Q122" s="189">
        <v>0</v>
      </c>
      <c r="R122" s="189">
        <v>0</v>
      </c>
      <c r="S122" s="189">
        <f t="shared" si="18"/>
        <v>2958496.97</v>
      </c>
      <c r="T122" s="189">
        <f t="shared" si="10"/>
        <v>4522.3127025374506</v>
      </c>
      <c r="U122" s="189">
        <f>Y122</f>
        <v>4818.7907031488849</v>
      </c>
      <c r="V122" s="170">
        <f t="shared" si="15"/>
        <v>296.47800061143425</v>
      </c>
      <c r="W122" s="170"/>
      <c r="X122" s="170"/>
      <c r="Y122" s="173">
        <f t="shared" si="16"/>
        <v>4818.7907031488849</v>
      </c>
      <c r="AA122" s="173">
        <f t="shared" si="11"/>
        <v>603.71</v>
      </c>
      <c r="AC122" s="173" t="s">
        <v>795</v>
      </c>
      <c r="AD122" s="173">
        <v>1319.27</v>
      </c>
      <c r="AH122" s="173" t="e">
        <f t="shared" si="12"/>
        <v>#N/A</v>
      </c>
      <c r="AJ122" s="173" t="s">
        <v>199</v>
      </c>
      <c r="AK122" s="173">
        <v>455</v>
      </c>
      <c r="AS122" s="173" t="e">
        <f t="shared" si="13"/>
        <v>#N/A</v>
      </c>
    </row>
    <row r="123" spans="1:45" s="173" customFormat="1" ht="61.5" x14ac:dyDescent="0.9">
      <c r="A123" s="173">
        <v>1</v>
      </c>
      <c r="B123" s="91">
        <f>SUBTOTAL(103,$A$16:A123)</f>
        <v>107</v>
      </c>
      <c r="C123" s="90" t="s">
        <v>458</v>
      </c>
      <c r="D123" s="185">
        <v>1959</v>
      </c>
      <c r="E123" s="185"/>
      <c r="F123" s="191" t="s">
        <v>273</v>
      </c>
      <c r="G123" s="185">
        <v>2</v>
      </c>
      <c r="H123" s="185">
        <v>2</v>
      </c>
      <c r="I123" s="189">
        <v>672.5</v>
      </c>
      <c r="J123" s="189">
        <v>622.20000000000005</v>
      </c>
      <c r="K123" s="189">
        <v>579.9</v>
      </c>
      <c r="L123" s="187">
        <v>42</v>
      </c>
      <c r="M123" s="185" t="s">
        <v>271</v>
      </c>
      <c r="N123" s="185" t="s">
        <v>275</v>
      </c>
      <c r="O123" s="188" t="s">
        <v>348</v>
      </c>
      <c r="P123" s="189">
        <v>2357467.23</v>
      </c>
      <c r="Q123" s="189">
        <v>0</v>
      </c>
      <c r="R123" s="189">
        <v>0</v>
      </c>
      <c r="S123" s="189">
        <f t="shared" si="18"/>
        <v>2357467.23</v>
      </c>
      <c r="T123" s="189">
        <f t="shared" si="10"/>
        <v>3505.5274795539035</v>
      </c>
      <c r="U123" s="189">
        <f>Y123</f>
        <v>4568.7838215613383</v>
      </c>
      <c r="V123" s="170">
        <f t="shared" si="15"/>
        <v>1063.2563420074348</v>
      </c>
      <c r="W123" s="170"/>
      <c r="X123" s="170"/>
      <c r="Y123" s="173">
        <f t="shared" si="16"/>
        <v>4568.7838215613383</v>
      </c>
      <c r="AA123" s="173">
        <f t="shared" si="11"/>
        <v>588.4</v>
      </c>
      <c r="AC123" s="173" t="s">
        <v>796</v>
      </c>
      <c r="AD123" s="173">
        <v>1080</v>
      </c>
      <c r="AH123" s="173" t="e">
        <f t="shared" si="12"/>
        <v>#N/A</v>
      </c>
      <c r="AJ123" s="173" t="s">
        <v>200</v>
      </c>
      <c r="AK123" s="173">
        <v>455</v>
      </c>
      <c r="AS123" s="173" t="e">
        <f t="shared" si="13"/>
        <v>#N/A</v>
      </c>
    </row>
    <row r="124" spans="1:45" s="173" customFormat="1" ht="61.5" x14ac:dyDescent="0.9">
      <c r="A124" s="173">
        <v>1</v>
      </c>
      <c r="B124" s="91">
        <f>SUBTOTAL(103,$A$16:A124)</f>
        <v>108</v>
      </c>
      <c r="C124" s="90" t="s">
        <v>459</v>
      </c>
      <c r="D124" s="185">
        <v>1962</v>
      </c>
      <c r="E124" s="185"/>
      <c r="F124" s="191" t="s">
        <v>273</v>
      </c>
      <c r="G124" s="185">
        <v>3</v>
      </c>
      <c r="H124" s="185">
        <v>2</v>
      </c>
      <c r="I124" s="189">
        <v>1048.7</v>
      </c>
      <c r="J124" s="189">
        <v>975.1</v>
      </c>
      <c r="K124" s="189">
        <v>975.1</v>
      </c>
      <c r="L124" s="187">
        <v>56</v>
      </c>
      <c r="M124" s="185" t="s">
        <v>271</v>
      </c>
      <c r="N124" s="185" t="s">
        <v>275</v>
      </c>
      <c r="O124" s="188" t="s">
        <v>354</v>
      </c>
      <c r="P124" s="189">
        <v>3254641.7199999997</v>
      </c>
      <c r="Q124" s="189">
        <v>0</v>
      </c>
      <c r="R124" s="189">
        <v>0</v>
      </c>
      <c r="S124" s="189">
        <f t="shared" si="18"/>
        <v>3254641.7199999997</v>
      </c>
      <c r="T124" s="189">
        <f t="shared" si="10"/>
        <v>3103.501211023171</v>
      </c>
      <c r="U124" s="189">
        <f>T124</f>
        <v>3103.501211023171</v>
      </c>
      <c r="V124" s="170">
        <f t="shared" si="15"/>
        <v>0</v>
      </c>
      <c r="W124" s="170"/>
      <c r="X124" s="170"/>
      <c r="Y124" s="173">
        <f t="shared" si="16"/>
        <v>2765.457711452274</v>
      </c>
      <c r="AA124" s="173">
        <f t="shared" si="11"/>
        <v>555.39</v>
      </c>
      <c r="AC124" s="173" t="s">
        <v>797</v>
      </c>
      <c r="AD124" s="173">
        <v>1375.9</v>
      </c>
      <c r="AH124" s="173" t="e">
        <f t="shared" si="12"/>
        <v>#N/A</v>
      </c>
      <c r="AJ124" s="173" t="s">
        <v>819</v>
      </c>
      <c r="AK124" s="173">
        <v>333.4</v>
      </c>
      <c r="AS124" s="173" t="e">
        <f t="shared" si="13"/>
        <v>#N/A</v>
      </c>
    </row>
    <row r="125" spans="1:45" s="173" customFormat="1" ht="61.5" x14ac:dyDescent="0.9">
      <c r="A125" s="173">
        <v>1</v>
      </c>
      <c r="B125" s="91">
        <f>SUBTOTAL(103,$A$16:A125)</f>
        <v>109</v>
      </c>
      <c r="C125" s="90" t="s">
        <v>460</v>
      </c>
      <c r="D125" s="185">
        <v>1962</v>
      </c>
      <c r="E125" s="185"/>
      <c r="F125" s="191" t="s">
        <v>273</v>
      </c>
      <c r="G125" s="185">
        <v>2</v>
      </c>
      <c r="H125" s="185">
        <v>2</v>
      </c>
      <c r="I125" s="189">
        <v>637.20000000000005</v>
      </c>
      <c r="J125" s="189">
        <v>631.1</v>
      </c>
      <c r="K125" s="189">
        <v>631.1</v>
      </c>
      <c r="L125" s="187">
        <v>42</v>
      </c>
      <c r="M125" s="185" t="s">
        <v>271</v>
      </c>
      <c r="N125" s="185" t="s">
        <v>275</v>
      </c>
      <c r="O125" s="188" t="s">
        <v>348</v>
      </c>
      <c r="P125" s="189">
        <v>2742180.7199999997</v>
      </c>
      <c r="Q125" s="189">
        <v>0</v>
      </c>
      <c r="R125" s="189">
        <v>0</v>
      </c>
      <c r="S125" s="189">
        <f t="shared" si="18"/>
        <v>2742180.7199999997</v>
      </c>
      <c r="T125" s="189">
        <f t="shared" si="10"/>
        <v>4303.485122410545</v>
      </c>
      <c r="U125" s="189">
        <f>Y125</f>
        <v>4728.4661016949149</v>
      </c>
      <c r="V125" s="170">
        <f t="shared" si="15"/>
        <v>424.98097928436982</v>
      </c>
      <c r="W125" s="170"/>
      <c r="X125" s="170"/>
      <c r="Y125" s="173">
        <f t="shared" si="16"/>
        <v>4728.4661016949149</v>
      </c>
      <c r="AA125" s="173">
        <f t="shared" si="11"/>
        <v>577</v>
      </c>
      <c r="AC125" s="173" t="s">
        <v>1194</v>
      </c>
      <c r="AD125" s="173">
        <v>1206.22</v>
      </c>
      <c r="AH125" s="173" t="e">
        <f t="shared" si="12"/>
        <v>#N/A</v>
      </c>
      <c r="AS125" s="173" t="e">
        <f t="shared" si="13"/>
        <v>#N/A</v>
      </c>
    </row>
    <row r="126" spans="1:45" s="173" customFormat="1" ht="61.5" x14ac:dyDescent="0.9">
      <c r="A126" s="173">
        <v>1</v>
      </c>
      <c r="B126" s="91">
        <f>SUBTOTAL(103,$A$16:A126)</f>
        <v>110</v>
      </c>
      <c r="C126" s="90" t="s">
        <v>461</v>
      </c>
      <c r="D126" s="185">
        <v>1962</v>
      </c>
      <c r="E126" s="185"/>
      <c r="F126" s="191" t="s">
        <v>273</v>
      </c>
      <c r="G126" s="185">
        <v>2</v>
      </c>
      <c r="H126" s="185">
        <v>2</v>
      </c>
      <c r="I126" s="189">
        <v>695</v>
      </c>
      <c r="J126" s="189">
        <v>644</v>
      </c>
      <c r="K126" s="189">
        <v>598</v>
      </c>
      <c r="L126" s="187">
        <v>42</v>
      </c>
      <c r="M126" s="185" t="s">
        <v>271</v>
      </c>
      <c r="N126" s="185" t="s">
        <v>275</v>
      </c>
      <c r="O126" s="188" t="s">
        <v>348</v>
      </c>
      <c r="P126" s="189">
        <v>2974792.63</v>
      </c>
      <c r="Q126" s="189">
        <v>0</v>
      </c>
      <c r="R126" s="189">
        <v>0</v>
      </c>
      <c r="S126" s="189">
        <f t="shared" si="18"/>
        <v>2974792.63</v>
      </c>
      <c r="T126" s="189">
        <f t="shared" si="10"/>
        <v>4280.2771654676253</v>
      </c>
      <c r="U126" s="189">
        <f>T126</f>
        <v>4280.2771654676253</v>
      </c>
      <c r="V126" s="170">
        <f t="shared" si="15"/>
        <v>0</v>
      </c>
      <c r="W126" s="170"/>
      <c r="X126" s="170"/>
      <c r="Y126" s="173">
        <f t="shared" si="16"/>
        <v>4264.7454906474823</v>
      </c>
      <c r="AA126" s="173">
        <f t="shared" si="11"/>
        <v>567.62</v>
      </c>
      <c r="AC126" s="173" t="s">
        <v>1197</v>
      </c>
      <c r="AD126" s="173">
        <v>1137.3</v>
      </c>
      <c r="AH126" s="173" t="e">
        <f t="shared" si="12"/>
        <v>#N/A</v>
      </c>
      <c r="AS126" s="173" t="e">
        <f t="shared" si="13"/>
        <v>#N/A</v>
      </c>
    </row>
    <row r="127" spans="1:45" s="173" customFormat="1" ht="61.5" x14ac:dyDescent="0.9">
      <c r="A127" s="173">
        <v>1</v>
      </c>
      <c r="B127" s="91">
        <f>SUBTOTAL(103,$A$16:A127)</f>
        <v>111</v>
      </c>
      <c r="C127" s="90" t="s">
        <v>462</v>
      </c>
      <c r="D127" s="185">
        <v>1963</v>
      </c>
      <c r="E127" s="185"/>
      <c r="F127" s="191" t="s">
        <v>273</v>
      </c>
      <c r="G127" s="185">
        <v>4</v>
      </c>
      <c r="H127" s="185">
        <v>3</v>
      </c>
      <c r="I127" s="189">
        <v>2084.9</v>
      </c>
      <c r="J127" s="189">
        <v>1940.4</v>
      </c>
      <c r="K127" s="189">
        <v>1400.4</v>
      </c>
      <c r="L127" s="187">
        <v>83</v>
      </c>
      <c r="M127" s="185" t="s">
        <v>271</v>
      </c>
      <c r="N127" s="185" t="s">
        <v>275</v>
      </c>
      <c r="O127" s="188" t="s">
        <v>354</v>
      </c>
      <c r="P127" s="189">
        <v>4857461.72</v>
      </c>
      <c r="Q127" s="189">
        <v>0</v>
      </c>
      <c r="R127" s="189">
        <v>0</v>
      </c>
      <c r="S127" s="189">
        <f t="shared" si="18"/>
        <v>4857461.72</v>
      </c>
      <c r="T127" s="189">
        <f t="shared" si="10"/>
        <v>2329.8295937455032</v>
      </c>
      <c r="U127" s="189">
        <f>T127</f>
        <v>2329.8295937455032</v>
      </c>
      <c r="V127" s="170">
        <f t="shared" si="15"/>
        <v>0</v>
      </c>
      <c r="W127" s="170"/>
      <c r="X127" s="170"/>
      <c r="Y127" s="173">
        <f t="shared" si="16"/>
        <v>2166.7627301069597</v>
      </c>
      <c r="AA127" s="173">
        <f t="shared" si="11"/>
        <v>865.12</v>
      </c>
      <c r="AC127" s="173" t="s">
        <v>1306</v>
      </c>
      <c r="AD127" s="173">
        <v>1548.79</v>
      </c>
      <c r="AH127" s="173" t="e">
        <f t="shared" si="12"/>
        <v>#N/A</v>
      </c>
      <c r="AS127" s="173" t="e">
        <f t="shared" si="13"/>
        <v>#N/A</v>
      </c>
    </row>
    <row r="128" spans="1:45" s="173" customFormat="1" ht="61.5" x14ac:dyDescent="0.9">
      <c r="A128" s="173">
        <v>1</v>
      </c>
      <c r="B128" s="91">
        <f>SUBTOTAL(103,$A$16:A128)</f>
        <v>112</v>
      </c>
      <c r="C128" s="90" t="s">
        <v>463</v>
      </c>
      <c r="D128" s="185">
        <v>1961</v>
      </c>
      <c r="E128" s="185"/>
      <c r="F128" s="191" t="s">
        <v>273</v>
      </c>
      <c r="G128" s="185">
        <v>2</v>
      </c>
      <c r="H128" s="185">
        <v>2</v>
      </c>
      <c r="I128" s="189">
        <v>695.4</v>
      </c>
      <c r="J128" s="189">
        <v>646.20000000000005</v>
      </c>
      <c r="K128" s="189">
        <v>646.20000000000005</v>
      </c>
      <c r="L128" s="187">
        <v>42</v>
      </c>
      <c r="M128" s="185" t="s">
        <v>271</v>
      </c>
      <c r="N128" s="185" t="s">
        <v>275</v>
      </c>
      <c r="O128" s="188" t="s">
        <v>348</v>
      </c>
      <c r="P128" s="189">
        <v>2885005.74</v>
      </c>
      <c r="Q128" s="189">
        <v>0</v>
      </c>
      <c r="R128" s="189">
        <v>0</v>
      </c>
      <c r="S128" s="189">
        <f t="shared" si="18"/>
        <v>2885005.74</v>
      </c>
      <c r="T128" s="189">
        <f t="shared" si="10"/>
        <v>4148.699654874893</v>
      </c>
      <c r="U128" s="189">
        <f>Y128</f>
        <v>4181.044348576359</v>
      </c>
      <c r="V128" s="170">
        <f t="shared" si="15"/>
        <v>32.344693701465985</v>
      </c>
      <c r="W128" s="170"/>
      <c r="X128" s="170"/>
      <c r="Y128" s="173">
        <f t="shared" si="16"/>
        <v>4181.044348576359</v>
      </c>
      <c r="AA128" s="173">
        <f t="shared" si="11"/>
        <v>556.79999999999995</v>
      </c>
      <c r="AC128" s="173" t="s">
        <v>389</v>
      </c>
      <c r="AD128" s="173">
        <v>386.2</v>
      </c>
      <c r="AH128" s="173" t="e">
        <f t="shared" si="12"/>
        <v>#N/A</v>
      </c>
      <c r="AS128" s="173" t="e">
        <f t="shared" si="13"/>
        <v>#N/A</v>
      </c>
    </row>
    <row r="129" spans="1:45" s="173" customFormat="1" ht="36" customHeight="1" x14ac:dyDescent="0.9">
      <c r="A129" s="173">
        <v>1</v>
      </c>
      <c r="B129" s="91">
        <f>SUBTOTAL(103,$A$16:A129)</f>
        <v>113</v>
      </c>
      <c r="C129" s="90" t="s">
        <v>464</v>
      </c>
      <c r="D129" s="185">
        <v>1966</v>
      </c>
      <c r="E129" s="185"/>
      <c r="F129" s="191" t="s">
        <v>273</v>
      </c>
      <c r="G129" s="185">
        <v>5</v>
      </c>
      <c r="H129" s="185">
        <v>3</v>
      </c>
      <c r="I129" s="189">
        <v>2708.5</v>
      </c>
      <c r="J129" s="189">
        <v>2523.1</v>
      </c>
      <c r="K129" s="189">
        <v>2480.8000000000002</v>
      </c>
      <c r="L129" s="187">
        <v>137</v>
      </c>
      <c r="M129" s="185" t="s">
        <v>271</v>
      </c>
      <c r="N129" s="185" t="s">
        <v>349</v>
      </c>
      <c r="O129" s="188" t="s">
        <v>355</v>
      </c>
      <c r="P129" s="189">
        <v>4516946.4800000004</v>
      </c>
      <c r="Q129" s="189">
        <v>0</v>
      </c>
      <c r="R129" s="189">
        <v>0</v>
      </c>
      <c r="S129" s="189">
        <f t="shared" si="18"/>
        <v>4516946.4800000004</v>
      </c>
      <c r="T129" s="189">
        <f t="shared" si="10"/>
        <v>1667.6929961233157</v>
      </c>
      <c r="U129" s="189">
        <f>T129</f>
        <v>1667.6929961233157</v>
      </c>
      <c r="V129" s="170">
        <f t="shared" si="15"/>
        <v>0</v>
      </c>
      <c r="W129" s="170"/>
      <c r="X129" s="170"/>
      <c r="Y129" s="173">
        <f t="shared" si="16"/>
        <v>1659.7747232785675</v>
      </c>
      <c r="AA129" s="173">
        <f t="shared" si="11"/>
        <v>860.91</v>
      </c>
      <c r="AC129" s="173" t="s">
        <v>645</v>
      </c>
      <c r="AD129" s="173">
        <v>486.27</v>
      </c>
      <c r="AH129" s="173" t="e">
        <f t="shared" si="12"/>
        <v>#N/A</v>
      </c>
      <c r="AS129" s="173" t="e">
        <f t="shared" si="13"/>
        <v>#N/A</v>
      </c>
    </row>
    <row r="130" spans="1:45" s="173" customFormat="1" ht="36" customHeight="1" x14ac:dyDescent="0.9">
      <c r="A130" s="173">
        <v>1</v>
      </c>
      <c r="B130" s="91">
        <f>SUBTOTAL(103,$A$16:A130)</f>
        <v>114</v>
      </c>
      <c r="C130" s="90" t="s">
        <v>465</v>
      </c>
      <c r="D130" s="185">
        <v>1968</v>
      </c>
      <c r="E130" s="185">
        <v>2010</v>
      </c>
      <c r="F130" s="191" t="s">
        <v>338</v>
      </c>
      <c r="G130" s="185">
        <v>2</v>
      </c>
      <c r="H130" s="185">
        <v>2</v>
      </c>
      <c r="I130" s="189">
        <v>522</v>
      </c>
      <c r="J130" s="189">
        <v>471.1</v>
      </c>
      <c r="K130" s="189">
        <v>341.6</v>
      </c>
      <c r="L130" s="187">
        <v>22</v>
      </c>
      <c r="M130" s="185" t="s">
        <v>271</v>
      </c>
      <c r="N130" s="185" t="s">
        <v>272</v>
      </c>
      <c r="O130" s="188" t="s">
        <v>274</v>
      </c>
      <c r="P130" s="189">
        <v>2488287.8899999997</v>
      </c>
      <c r="Q130" s="189">
        <v>0</v>
      </c>
      <c r="R130" s="189">
        <v>0</v>
      </c>
      <c r="S130" s="189">
        <f t="shared" si="18"/>
        <v>2488287.8899999997</v>
      </c>
      <c r="T130" s="189">
        <f t="shared" si="10"/>
        <v>4766.835038314176</v>
      </c>
      <c r="U130" s="189">
        <f>AG130</f>
        <v>6242.4941625981746</v>
      </c>
      <c r="V130" s="170">
        <f t="shared" si="15"/>
        <v>1475.6591242839986</v>
      </c>
      <c r="W130" s="170"/>
      <c r="X130" s="170"/>
      <c r="Y130" s="173" t="e">
        <f t="shared" si="16"/>
        <v>#N/A</v>
      </c>
      <c r="AA130" s="173" t="e">
        <f t="shared" si="11"/>
        <v>#N/A</v>
      </c>
      <c r="AC130" s="173" t="s">
        <v>648</v>
      </c>
      <c r="AD130" s="173">
        <v>586.70000000000005</v>
      </c>
      <c r="AG130" s="173">
        <f>AH130*6191.24/J130</f>
        <v>6242.4941625981746</v>
      </c>
      <c r="AH130" s="173">
        <f t="shared" si="12"/>
        <v>475</v>
      </c>
      <c r="AS130" s="173" t="e">
        <f t="shared" si="13"/>
        <v>#N/A</v>
      </c>
    </row>
    <row r="131" spans="1:45" s="173" customFormat="1" ht="36" customHeight="1" x14ac:dyDescent="0.9">
      <c r="A131" s="173">
        <v>1</v>
      </c>
      <c r="B131" s="91">
        <f>SUBTOTAL(103,$A$16:A131)</f>
        <v>115</v>
      </c>
      <c r="C131" s="90" t="s">
        <v>1163</v>
      </c>
      <c r="D131" s="185">
        <v>1975</v>
      </c>
      <c r="E131" s="185">
        <v>2008</v>
      </c>
      <c r="F131" s="191" t="s">
        <v>319</v>
      </c>
      <c r="G131" s="185">
        <v>5</v>
      </c>
      <c r="H131" s="185">
        <v>6</v>
      </c>
      <c r="I131" s="189">
        <v>5015.3</v>
      </c>
      <c r="J131" s="189">
        <v>4555.7</v>
      </c>
      <c r="K131" s="189">
        <v>4267.7</v>
      </c>
      <c r="L131" s="187">
        <v>201</v>
      </c>
      <c r="M131" s="185" t="s">
        <v>271</v>
      </c>
      <c r="N131" s="185" t="s">
        <v>275</v>
      </c>
      <c r="O131" s="188" t="s">
        <v>1329</v>
      </c>
      <c r="P131" s="189">
        <v>3344006.3800000004</v>
      </c>
      <c r="Q131" s="189">
        <v>0</v>
      </c>
      <c r="R131" s="189">
        <v>0</v>
      </c>
      <c r="S131" s="189">
        <f t="shared" si="18"/>
        <v>3344006.3800000004</v>
      </c>
      <c r="T131" s="189">
        <f t="shared" si="10"/>
        <v>666.76098737862151</v>
      </c>
      <c r="U131" s="189">
        <v>3426.9700000000003</v>
      </c>
      <c r="V131" s="170">
        <f t="shared" si="15"/>
        <v>2760.2090126213789</v>
      </c>
      <c r="W131" s="170"/>
      <c r="X131" s="170"/>
      <c r="Y131" s="173" t="e">
        <f t="shared" si="16"/>
        <v>#N/A</v>
      </c>
      <c r="AA131" s="173" t="e">
        <f t="shared" si="11"/>
        <v>#N/A</v>
      </c>
      <c r="AC131" s="173" t="s">
        <v>649</v>
      </c>
      <c r="AD131" s="173">
        <v>384.56</v>
      </c>
      <c r="AH131" s="173" t="e">
        <f t="shared" si="12"/>
        <v>#N/A</v>
      </c>
      <c r="AS131" s="173" t="e">
        <f t="shared" si="13"/>
        <v>#N/A</v>
      </c>
    </row>
    <row r="132" spans="1:45" s="173" customFormat="1" ht="36" customHeight="1" x14ac:dyDescent="0.9">
      <c r="A132" s="173">
        <v>1</v>
      </c>
      <c r="B132" s="91">
        <f>SUBTOTAL(103,$A$16:A132)</f>
        <v>116</v>
      </c>
      <c r="C132" s="90" t="s">
        <v>1164</v>
      </c>
      <c r="D132" s="185">
        <v>1933</v>
      </c>
      <c r="E132" s="185">
        <v>2008</v>
      </c>
      <c r="F132" s="191" t="s">
        <v>273</v>
      </c>
      <c r="G132" s="185">
        <v>3</v>
      </c>
      <c r="H132" s="185">
        <v>4</v>
      </c>
      <c r="I132" s="189">
        <v>1863.4</v>
      </c>
      <c r="J132" s="189">
        <v>1677.4</v>
      </c>
      <c r="K132" s="189">
        <v>1604.4</v>
      </c>
      <c r="L132" s="187">
        <v>86</v>
      </c>
      <c r="M132" s="185" t="s">
        <v>271</v>
      </c>
      <c r="N132" s="185" t="s">
        <v>275</v>
      </c>
      <c r="O132" s="188" t="s">
        <v>354</v>
      </c>
      <c r="P132" s="189">
        <v>3020889.5500000003</v>
      </c>
      <c r="Q132" s="189">
        <v>0</v>
      </c>
      <c r="R132" s="189">
        <v>0</v>
      </c>
      <c r="S132" s="189">
        <f t="shared" si="18"/>
        <v>3020889.5500000003</v>
      </c>
      <c r="T132" s="189">
        <f t="shared" si="10"/>
        <v>1621.1707362885049</v>
      </c>
      <c r="U132" s="189">
        <v>3426.9700000000003</v>
      </c>
      <c r="V132" s="170">
        <f t="shared" si="15"/>
        <v>1805.7992637114953</v>
      </c>
      <c r="W132" s="170"/>
      <c r="X132" s="170"/>
      <c r="Y132" s="173" t="e">
        <f t="shared" si="16"/>
        <v>#N/A</v>
      </c>
      <c r="AA132" s="173" t="e">
        <f t="shared" si="11"/>
        <v>#N/A</v>
      </c>
      <c r="AC132" s="173" t="s">
        <v>652</v>
      </c>
      <c r="AD132" s="173">
        <v>240</v>
      </c>
      <c r="AH132" s="173" t="e">
        <f t="shared" si="12"/>
        <v>#N/A</v>
      </c>
      <c r="AS132" s="173" t="e">
        <f t="shared" si="13"/>
        <v>#N/A</v>
      </c>
    </row>
    <row r="133" spans="1:45" s="173" customFormat="1" ht="36" customHeight="1" x14ac:dyDescent="0.9">
      <c r="A133" s="173">
        <v>1</v>
      </c>
      <c r="B133" s="91">
        <f>SUBTOTAL(103,$A$16:A133)</f>
        <v>117</v>
      </c>
      <c r="C133" s="90" t="s">
        <v>1165</v>
      </c>
      <c r="D133" s="185">
        <v>1928</v>
      </c>
      <c r="E133" s="185">
        <v>2008</v>
      </c>
      <c r="F133" s="191" t="s">
        <v>273</v>
      </c>
      <c r="G133" s="185">
        <v>2</v>
      </c>
      <c r="H133" s="185">
        <v>2</v>
      </c>
      <c r="I133" s="189">
        <v>498.3</v>
      </c>
      <c r="J133" s="189">
        <v>446.6</v>
      </c>
      <c r="K133" s="189">
        <v>412.2</v>
      </c>
      <c r="L133" s="187">
        <v>28</v>
      </c>
      <c r="M133" s="185" t="s">
        <v>271</v>
      </c>
      <c r="N133" s="185" t="s">
        <v>272</v>
      </c>
      <c r="O133" s="188" t="s">
        <v>274</v>
      </c>
      <c r="P133" s="189">
        <v>1666784.6600000001</v>
      </c>
      <c r="Q133" s="189">
        <v>0</v>
      </c>
      <c r="R133" s="189">
        <v>0</v>
      </c>
      <c r="S133" s="189">
        <f t="shared" si="18"/>
        <v>1666784.6600000001</v>
      </c>
      <c r="T133" s="189">
        <f t="shared" si="10"/>
        <v>3344.9421232189447</v>
      </c>
      <c r="U133" s="189">
        <f>AG133</f>
        <v>10284.1681182266</v>
      </c>
      <c r="V133" s="170">
        <f t="shared" si="15"/>
        <v>6939.225995007655</v>
      </c>
      <c r="W133" s="170"/>
      <c r="X133" s="170"/>
      <c r="Y133" s="173" t="e">
        <f t="shared" si="16"/>
        <v>#N/A</v>
      </c>
      <c r="AA133" s="173" t="e">
        <f t="shared" si="11"/>
        <v>#N/A</v>
      </c>
      <c r="AC133" s="173" t="s">
        <v>656</v>
      </c>
      <c r="AD133" s="173">
        <v>563.1</v>
      </c>
      <c r="AG133" s="173">
        <f>AH133*6191.24/J133</f>
        <v>10284.1681182266</v>
      </c>
      <c r="AH133" s="173">
        <f t="shared" si="12"/>
        <v>741.84</v>
      </c>
      <c r="AS133" s="173" t="e">
        <f t="shared" si="13"/>
        <v>#N/A</v>
      </c>
    </row>
    <row r="134" spans="1:45" s="173" customFormat="1" ht="36" customHeight="1" x14ac:dyDescent="0.9">
      <c r="A134" s="173">
        <v>1</v>
      </c>
      <c r="B134" s="91">
        <f>SUBTOTAL(103,$A$16:A134)</f>
        <v>118</v>
      </c>
      <c r="C134" s="90" t="s">
        <v>1166</v>
      </c>
      <c r="D134" s="185" t="s">
        <v>1355</v>
      </c>
      <c r="E134" s="185"/>
      <c r="F134" s="191" t="s">
        <v>273</v>
      </c>
      <c r="G134" s="185" t="s">
        <v>311</v>
      </c>
      <c r="H134" s="185" t="s">
        <v>311</v>
      </c>
      <c r="I134" s="189">
        <v>823.9</v>
      </c>
      <c r="J134" s="189">
        <v>758.2</v>
      </c>
      <c r="K134" s="189">
        <v>682.4</v>
      </c>
      <c r="L134" s="187">
        <v>35</v>
      </c>
      <c r="M134" s="185" t="s">
        <v>271</v>
      </c>
      <c r="N134" s="185" t="s">
        <v>275</v>
      </c>
      <c r="O134" s="188" t="s">
        <v>354</v>
      </c>
      <c r="P134" s="189">
        <v>2074334.5899999999</v>
      </c>
      <c r="Q134" s="189">
        <v>0</v>
      </c>
      <c r="R134" s="189">
        <v>0</v>
      </c>
      <c r="S134" s="189">
        <f t="shared" si="18"/>
        <v>2074334.5899999999</v>
      </c>
      <c r="T134" s="189">
        <f t="shared" si="10"/>
        <v>2517.7018934336688</v>
      </c>
      <c r="U134" s="189">
        <f>AG134</f>
        <v>7390.7825428646793</v>
      </c>
      <c r="V134" s="170">
        <f t="shared" si="15"/>
        <v>4873.0806494310109</v>
      </c>
      <c r="W134" s="170"/>
      <c r="X134" s="170"/>
      <c r="Y134" s="173" t="e">
        <f t="shared" si="16"/>
        <v>#N/A</v>
      </c>
      <c r="AA134" s="173" t="e">
        <f t="shared" si="11"/>
        <v>#N/A</v>
      </c>
      <c r="AC134" s="173" t="s">
        <v>1119</v>
      </c>
      <c r="AD134" s="173">
        <v>900</v>
      </c>
      <c r="AG134" s="173">
        <f>AH134*6191.24/J134</f>
        <v>7390.7825428646793</v>
      </c>
      <c r="AH134" s="173">
        <f t="shared" si="12"/>
        <v>905.1</v>
      </c>
      <c r="AS134" s="173" t="e">
        <f t="shared" si="13"/>
        <v>#N/A</v>
      </c>
    </row>
    <row r="135" spans="1:45" s="173" customFormat="1" ht="36" customHeight="1" x14ac:dyDescent="0.9">
      <c r="A135" s="173">
        <v>1</v>
      </c>
      <c r="B135" s="91">
        <f>SUBTOTAL(103,$A$16:A135)</f>
        <v>119</v>
      </c>
      <c r="C135" s="90" t="s">
        <v>1167</v>
      </c>
      <c r="D135" s="185">
        <v>1956</v>
      </c>
      <c r="E135" s="185"/>
      <c r="F135" s="191" t="s">
        <v>273</v>
      </c>
      <c r="G135" s="185">
        <v>2</v>
      </c>
      <c r="H135" s="185" t="s">
        <v>312</v>
      </c>
      <c r="I135" s="189">
        <v>462.2</v>
      </c>
      <c r="J135" s="189">
        <v>420.8</v>
      </c>
      <c r="K135" s="189">
        <v>371.7</v>
      </c>
      <c r="L135" s="187">
        <v>21</v>
      </c>
      <c r="M135" s="185" t="s">
        <v>271</v>
      </c>
      <c r="N135" s="185" t="s">
        <v>272</v>
      </c>
      <c r="O135" s="188" t="s">
        <v>274</v>
      </c>
      <c r="P135" s="189">
        <v>154761.32999999999</v>
      </c>
      <c r="Q135" s="189">
        <v>0</v>
      </c>
      <c r="R135" s="189">
        <v>0</v>
      </c>
      <c r="S135" s="189">
        <f t="shared" si="18"/>
        <v>154761.32999999999</v>
      </c>
      <c r="T135" s="189">
        <f t="shared" si="10"/>
        <v>334.8362829943747</v>
      </c>
      <c r="U135" s="189">
        <f>T135</f>
        <v>334.8362829943747</v>
      </c>
      <c r="V135" s="170">
        <f t="shared" si="15"/>
        <v>0</v>
      </c>
      <c r="W135" s="170"/>
      <c r="X135" s="170"/>
      <c r="Y135" s="173" t="e">
        <f t="shared" si="16"/>
        <v>#N/A</v>
      </c>
      <c r="AA135" s="173" t="e">
        <f t="shared" si="11"/>
        <v>#N/A</v>
      </c>
      <c r="AC135" s="173" t="s">
        <v>1205</v>
      </c>
      <c r="AD135" s="173">
        <v>540.5</v>
      </c>
      <c r="AH135" s="173" t="e">
        <f t="shared" si="12"/>
        <v>#N/A</v>
      </c>
      <c r="AS135" s="173" t="e">
        <f t="shared" si="13"/>
        <v>#N/A</v>
      </c>
    </row>
    <row r="136" spans="1:45" s="173" customFormat="1" ht="36" customHeight="1" x14ac:dyDescent="0.9">
      <c r="A136" s="173">
        <v>1</v>
      </c>
      <c r="B136" s="91">
        <f>SUBTOTAL(103,$A$16:A136)</f>
        <v>120</v>
      </c>
      <c r="C136" s="90" t="s">
        <v>1168</v>
      </c>
      <c r="D136" s="185">
        <v>1949</v>
      </c>
      <c r="E136" s="185">
        <v>2008</v>
      </c>
      <c r="F136" s="191" t="s">
        <v>273</v>
      </c>
      <c r="G136" s="185" t="s">
        <v>311</v>
      </c>
      <c r="H136" s="185" t="s">
        <v>312</v>
      </c>
      <c r="I136" s="189">
        <v>490.9</v>
      </c>
      <c r="J136" s="189">
        <v>446.3</v>
      </c>
      <c r="K136" s="189">
        <v>327.2</v>
      </c>
      <c r="L136" s="187">
        <v>28</v>
      </c>
      <c r="M136" s="185" t="s">
        <v>271</v>
      </c>
      <c r="N136" s="185" t="s">
        <v>272</v>
      </c>
      <c r="O136" s="188" t="s">
        <v>274</v>
      </c>
      <c r="P136" s="189">
        <v>1358011.7</v>
      </c>
      <c r="Q136" s="189">
        <v>0</v>
      </c>
      <c r="R136" s="189">
        <v>0</v>
      </c>
      <c r="S136" s="189">
        <f t="shared" si="18"/>
        <v>1358011.7</v>
      </c>
      <c r="T136" s="189">
        <f t="shared" si="10"/>
        <v>2766.3713587288653</v>
      </c>
      <c r="U136" s="189">
        <f>AG136</f>
        <v>6797.4626932556575</v>
      </c>
      <c r="V136" s="170">
        <f t="shared" si="15"/>
        <v>4031.0913345267923</v>
      </c>
      <c r="W136" s="170"/>
      <c r="X136" s="170"/>
      <c r="Y136" s="173" t="e">
        <f t="shared" si="16"/>
        <v>#N/A</v>
      </c>
      <c r="AA136" s="173" t="e">
        <f t="shared" si="11"/>
        <v>#N/A</v>
      </c>
      <c r="AC136" s="173" t="s">
        <v>1206</v>
      </c>
      <c r="AD136" s="173">
        <v>603.5</v>
      </c>
      <c r="AG136" s="173">
        <f>AH136*6191.24/J136</f>
        <v>6797.4626932556575</v>
      </c>
      <c r="AH136" s="173">
        <f t="shared" si="12"/>
        <v>490</v>
      </c>
      <c r="AS136" s="173" t="e">
        <f t="shared" si="13"/>
        <v>#N/A</v>
      </c>
    </row>
    <row r="137" spans="1:45" s="173" customFormat="1" ht="36" customHeight="1" x14ac:dyDescent="0.9">
      <c r="A137" s="173">
        <v>1</v>
      </c>
      <c r="B137" s="91">
        <f>SUBTOTAL(103,$A$16:A137)</f>
        <v>121</v>
      </c>
      <c r="C137" s="90" t="s">
        <v>1169</v>
      </c>
      <c r="D137" s="185">
        <v>1964</v>
      </c>
      <c r="E137" s="185"/>
      <c r="F137" s="191" t="s">
        <v>273</v>
      </c>
      <c r="G137" s="185">
        <v>2</v>
      </c>
      <c r="H137" s="185">
        <v>1</v>
      </c>
      <c r="I137" s="189">
        <v>405.1</v>
      </c>
      <c r="J137" s="189">
        <v>380.8</v>
      </c>
      <c r="K137" s="189">
        <v>380.8</v>
      </c>
      <c r="L137" s="187">
        <v>13</v>
      </c>
      <c r="M137" s="185" t="s">
        <v>271</v>
      </c>
      <c r="N137" s="185" t="s">
        <v>272</v>
      </c>
      <c r="O137" s="188" t="s">
        <v>274</v>
      </c>
      <c r="P137" s="189">
        <v>741685.94</v>
      </c>
      <c r="Q137" s="189">
        <v>0</v>
      </c>
      <c r="R137" s="189">
        <v>0</v>
      </c>
      <c r="S137" s="189">
        <f t="shared" si="18"/>
        <v>741685.94</v>
      </c>
      <c r="T137" s="189">
        <f t="shared" si="10"/>
        <v>1830.8712416687235</v>
      </c>
      <c r="U137" s="189">
        <v>3697.55</v>
      </c>
      <c r="V137" s="170">
        <f t="shared" si="15"/>
        <v>1866.6787583312766</v>
      </c>
      <c r="W137" s="170"/>
      <c r="X137" s="170"/>
      <c r="Y137" s="173" t="e">
        <f t="shared" si="16"/>
        <v>#N/A</v>
      </c>
      <c r="AA137" s="173" t="e">
        <f t="shared" si="11"/>
        <v>#N/A</v>
      </c>
      <c r="AC137" s="173" t="s">
        <v>1207</v>
      </c>
      <c r="AD137" s="173">
        <v>1650</v>
      </c>
      <c r="AH137" s="173" t="e">
        <f t="shared" si="12"/>
        <v>#N/A</v>
      </c>
      <c r="AS137" s="173" t="e">
        <f t="shared" si="13"/>
        <v>#N/A</v>
      </c>
    </row>
    <row r="138" spans="1:45" s="173" customFormat="1" ht="36" customHeight="1" x14ac:dyDescent="0.9">
      <c r="A138" s="173">
        <v>1</v>
      </c>
      <c r="B138" s="91">
        <f>SUBTOTAL(103,$A$16:A138)</f>
        <v>122</v>
      </c>
      <c r="C138" s="90" t="s">
        <v>1170</v>
      </c>
      <c r="D138" s="185">
        <v>1956</v>
      </c>
      <c r="E138" s="185"/>
      <c r="F138" s="191" t="s">
        <v>332</v>
      </c>
      <c r="G138" s="185">
        <v>2</v>
      </c>
      <c r="H138" s="185">
        <v>2</v>
      </c>
      <c r="I138" s="189">
        <v>752.8</v>
      </c>
      <c r="J138" s="189">
        <v>577.9</v>
      </c>
      <c r="K138" s="189">
        <v>454.1</v>
      </c>
      <c r="L138" s="187">
        <v>17</v>
      </c>
      <c r="M138" s="185" t="s">
        <v>271</v>
      </c>
      <c r="N138" s="185" t="s">
        <v>272</v>
      </c>
      <c r="O138" s="188" t="s">
        <v>274</v>
      </c>
      <c r="P138" s="189">
        <v>2205149.9699999997</v>
      </c>
      <c r="Q138" s="189">
        <v>0</v>
      </c>
      <c r="R138" s="189">
        <v>0</v>
      </c>
      <c r="S138" s="189">
        <f t="shared" si="18"/>
        <v>2205149.9699999997</v>
      </c>
      <c r="T138" s="189">
        <f t="shared" si="10"/>
        <v>2929.2640409139212</v>
      </c>
      <c r="U138" s="189">
        <f>AG138</f>
        <v>9306.8939484339844</v>
      </c>
      <c r="V138" s="170">
        <f t="shared" si="15"/>
        <v>6377.6299075200632</v>
      </c>
      <c r="W138" s="170"/>
      <c r="X138" s="170"/>
      <c r="Y138" s="173" t="e">
        <f t="shared" si="16"/>
        <v>#N/A</v>
      </c>
      <c r="AA138" s="173" t="e">
        <f t="shared" si="11"/>
        <v>#N/A</v>
      </c>
      <c r="AC138" s="173" t="s">
        <v>1209</v>
      </c>
      <c r="AD138" s="173">
        <v>1906.5</v>
      </c>
      <c r="AG138" s="173">
        <f>AH138*6191.24/J138</f>
        <v>9306.8939484339844</v>
      </c>
      <c r="AH138" s="173">
        <f t="shared" si="12"/>
        <v>868.72</v>
      </c>
      <c r="AS138" s="173" t="e">
        <f t="shared" si="13"/>
        <v>#N/A</v>
      </c>
    </row>
    <row r="139" spans="1:45" s="173" customFormat="1" ht="36" customHeight="1" x14ac:dyDescent="0.9">
      <c r="A139" s="173">
        <v>1</v>
      </c>
      <c r="B139" s="91">
        <f>SUBTOTAL(103,$A$16:A139)</f>
        <v>123</v>
      </c>
      <c r="C139" s="90" t="s">
        <v>1171</v>
      </c>
      <c r="D139" s="185">
        <v>1961</v>
      </c>
      <c r="E139" s="185"/>
      <c r="F139" s="191" t="s">
        <v>273</v>
      </c>
      <c r="G139" s="185">
        <v>2</v>
      </c>
      <c r="H139" s="185">
        <v>2</v>
      </c>
      <c r="I139" s="189">
        <v>588.1</v>
      </c>
      <c r="J139" s="189">
        <v>546.70000000000005</v>
      </c>
      <c r="K139" s="189">
        <v>401.1</v>
      </c>
      <c r="L139" s="187">
        <v>45</v>
      </c>
      <c r="M139" s="185" t="s">
        <v>271</v>
      </c>
      <c r="N139" s="185" t="s">
        <v>272</v>
      </c>
      <c r="O139" s="188" t="s">
        <v>274</v>
      </c>
      <c r="P139" s="189">
        <v>1409669.3</v>
      </c>
      <c r="Q139" s="189">
        <v>0</v>
      </c>
      <c r="R139" s="189">
        <v>0</v>
      </c>
      <c r="S139" s="189">
        <f t="shared" si="18"/>
        <v>1409669.3</v>
      </c>
      <c r="T139" s="189">
        <f t="shared" si="10"/>
        <v>2396.9891174970244</v>
      </c>
      <c r="U139" s="189">
        <f>AG139</f>
        <v>6490.4398551307841</v>
      </c>
      <c r="V139" s="170">
        <f t="shared" si="15"/>
        <v>4093.4507376337597</v>
      </c>
      <c r="W139" s="170"/>
      <c r="X139" s="170"/>
      <c r="Y139" s="173" t="e">
        <f t="shared" si="16"/>
        <v>#N/A</v>
      </c>
      <c r="AA139" s="173" t="e">
        <f t="shared" si="11"/>
        <v>#N/A</v>
      </c>
      <c r="AC139" s="173" t="s">
        <v>1214</v>
      </c>
      <c r="AD139" s="173">
        <v>1264.96</v>
      </c>
      <c r="AG139" s="173">
        <f>AH139*6191.24/J139</f>
        <v>6490.4398551307841</v>
      </c>
      <c r="AH139" s="173">
        <f t="shared" si="12"/>
        <v>573.12</v>
      </c>
      <c r="AS139" s="173" t="e">
        <f t="shared" si="13"/>
        <v>#N/A</v>
      </c>
    </row>
    <row r="140" spans="1:45" s="173" customFormat="1" ht="36" customHeight="1" x14ac:dyDescent="0.9">
      <c r="A140" s="173">
        <v>1</v>
      </c>
      <c r="B140" s="91">
        <f>SUBTOTAL(103,$A$16:A140)</f>
        <v>124</v>
      </c>
      <c r="C140" s="90" t="s">
        <v>1172</v>
      </c>
      <c r="D140" s="185">
        <v>1955</v>
      </c>
      <c r="E140" s="185"/>
      <c r="F140" s="191" t="s">
        <v>273</v>
      </c>
      <c r="G140" s="185">
        <v>2</v>
      </c>
      <c r="H140" s="185">
        <v>1</v>
      </c>
      <c r="I140" s="189">
        <v>421.3</v>
      </c>
      <c r="J140" s="189">
        <v>388.3</v>
      </c>
      <c r="K140" s="189">
        <v>388.3</v>
      </c>
      <c r="L140" s="187">
        <v>21</v>
      </c>
      <c r="M140" s="185" t="s">
        <v>271</v>
      </c>
      <c r="N140" s="185" t="s">
        <v>272</v>
      </c>
      <c r="O140" s="188" t="s">
        <v>274</v>
      </c>
      <c r="P140" s="189">
        <v>1971369.43</v>
      </c>
      <c r="Q140" s="189">
        <v>0</v>
      </c>
      <c r="R140" s="189">
        <v>0</v>
      </c>
      <c r="S140" s="189">
        <f t="shared" si="18"/>
        <v>1971369.43</v>
      </c>
      <c r="T140" s="189">
        <f t="shared" si="10"/>
        <v>4679.2533349157366</v>
      </c>
      <c r="U140" s="189">
        <f>AG140</f>
        <v>6329.9569405099146</v>
      </c>
      <c r="V140" s="170">
        <f t="shared" si="15"/>
        <v>1650.703605594178</v>
      </c>
      <c r="W140" s="170"/>
      <c r="X140" s="170"/>
      <c r="Y140" s="173" t="e">
        <f t="shared" si="16"/>
        <v>#N/A</v>
      </c>
      <c r="AA140" s="173" t="e">
        <f t="shared" si="11"/>
        <v>#N/A</v>
      </c>
      <c r="AC140" s="173" t="s">
        <v>1216</v>
      </c>
      <c r="AD140" s="173">
        <v>781</v>
      </c>
      <c r="AG140" s="173">
        <f>AH140*6191.24/J140</f>
        <v>6329.9569405099146</v>
      </c>
      <c r="AH140" s="173">
        <f t="shared" si="12"/>
        <v>397</v>
      </c>
      <c r="AS140" s="173" t="e">
        <f t="shared" si="13"/>
        <v>#N/A</v>
      </c>
    </row>
    <row r="141" spans="1:45" s="173" customFormat="1" ht="36" customHeight="1" x14ac:dyDescent="0.9">
      <c r="A141" s="173">
        <v>1</v>
      </c>
      <c r="B141" s="91">
        <f>SUBTOTAL(103,$A$16:A141)</f>
        <v>125</v>
      </c>
      <c r="C141" s="90" t="s">
        <v>1173</v>
      </c>
      <c r="D141" s="185">
        <v>1993</v>
      </c>
      <c r="E141" s="185">
        <v>2016</v>
      </c>
      <c r="F141" s="191" t="s">
        <v>293</v>
      </c>
      <c r="G141" s="185">
        <v>9</v>
      </c>
      <c r="H141" s="185">
        <v>4</v>
      </c>
      <c r="I141" s="189">
        <v>9105.2999999999993</v>
      </c>
      <c r="J141" s="189">
        <v>7487.4</v>
      </c>
      <c r="K141" s="189">
        <v>7487.4</v>
      </c>
      <c r="L141" s="187">
        <v>293</v>
      </c>
      <c r="M141" s="185" t="s">
        <v>271</v>
      </c>
      <c r="N141" s="185" t="s">
        <v>349</v>
      </c>
      <c r="O141" s="188" t="s">
        <v>1356</v>
      </c>
      <c r="P141" s="189">
        <v>5593558.4000000004</v>
      </c>
      <c r="Q141" s="189">
        <v>0</v>
      </c>
      <c r="R141" s="189">
        <v>0</v>
      </c>
      <c r="S141" s="189">
        <f t="shared" si="18"/>
        <v>5593558.4000000004</v>
      </c>
      <c r="T141" s="189">
        <f t="shared" si="10"/>
        <v>614.31895709092521</v>
      </c>
      <c r="U141" s="189">
        <f>AR141</f>
        <v>969.72664272456711</v>
      </c>
      <c r="V141" s="170">
        <f t="shared" si="15"/>
        <v>355.4076856336419</v>
      </c>
      <c r="W141" s="170"/>
      <c r="X141" s="170"/>
      <c r="Y141" s="173" t="e">
        <f t="shared" si="16"/>
        <v>#N/A</v>
      </c>
      <c r="AA141" s="173" t="e">
        <f t="shared" si="11"/>
        <v>#N/A</v>
      </c>
      <c r="AC141" s="173" t="s">
        <v>1217</v>
      </c>
      <c r="AD141" s="173">
        <v>2073.9</v>
      </c>
      <c r="AH141" s="173" t="e">
        <f t="shared" si="12"/>
        <v>#N/A</v>
      </c>
      <c r="AR141" s="173">
        <f>AS141*2207413/I141</f>
        <v>969.72664272456711</v>
      </c>
      <c r="AS141" s="173">
        <f t="shared" si="13"/>
        <v>4</v>
      </c>
    </row>
    <row r="142" spans="1:45" s="173" customFormat="1" ht="36" customHeight="1" x14ac:dyDescent="0.9">
      <c r="A142" s="173">
        <v>1</v>
      </c>
      <c r="B142" s="91">
        <f>SUBTOTAL(103,$A$16:A142)</f>
        <v>126</v>
      </c>
      <c r="C142" s="90" t="s">
        <v>1174</v>
      </c>
      <c r="D142" s="185">
        <v>1977</v>
      </c>
      <c r="E142" s="185">
        <v>2014</v>
      </c>
      <c r="F142" s="191" t="s">
        <v>273</v>
      </c>
      <c r="G142" s="185">
        <v>5</v>
      </c>
      <c r="H142" s="185">
        <v>4</v>
      </c>
      <c r="I142" s="189">
        <v>3912.3</v>
      </c>
      <c r="J142" s="189">
        <v>3639.1</v>
      </c>
      <c r="K142" s="189">
        <v>2451.4</v>
      </c>
      <c r="L142" s="187">
        <v>85</v>
      </c>
      <c r="M142" s="185" t="s">
        <v>271</v>
      </c>
      <c r="N142" s="185" t="s">
        <v>275</v>
      </c>
      <c r="O142" s="188" t="s">
        <v>1329</v>
      </c>
      <c r="P142" s="189">
        <v>3010382.16</v>
      </c>
      <c r="Q142" s="189">
        <v>0</v>
      </c>
      <c r="R142" s="189">
        <v>0</v>
      </c>
      <c r="S142" s="189">
        <f t="shared" si="18"/>
        <v>3010382.16</v>
      </c>
      <c r="T142" s="189">
        <f t="shared" ref="T142:T205" si="19">P142/I142</f>
        <v>769.46608388927234</v>
      </c>
      <c r="U142" s="189">
        <v>3697.55</v>
      </c>
      <c r="V142" s="170">
        <f t="shared" si="15"/>
        <v>2928.0839161107278</v>
      </c>
      <c r="W142" s="170"/>
      <c r="X142" s="170"/>
      <c r="Y142" s="173" t="e">
        <f t="shared" si="16"/>
        <v>#N/A</v>
      </c>
      <c r="AA142" s="173" t="e">
        <f t="shared" si="11"/>
        <v>#N/A</v>
      </c>
      <c r="AC142" s="173" t="s">
        <v>1219</v>
      </c>
      <c r="AD142" s="173">
        <v>1174.18</v>
      </c>
      <c r="AH142" s="173" t="e">
        <f t="shared" si="12"/>
        <v>#N/A</v>
      </c>
      <c r="AS142" s="173" t="e">
        <f t="shared" si="13"/>
        <v>#N/A</v>
      </c>
    </row>
    <row r="143" spans="1:45" s="173" customFormat="1" ht="36" customHeight="1" x14ac:dyDescent="0.9">
      <c r="A143" s="173">
        <v>1</v>
      </c>
      <c r="B143" s="91">
        <f>SUBTOTAL(103,$A$16:A143)</f>
        <v>127</v>
      </c>
      <c r="C143" s="90" t="s">
        <v>1175</v>
      </c>
      <c r="D143" s="185">
        <v>1976</v>
      </c>
      <c r="E143" s="185"/>
      <c r="F143" s="191" t="s">
        <v>273</v>
      </c>
      <c r="G143" s="185">
        <v>5</v>
      </c>
      <c r="H143" s="185">
        <v>4</v>
      </c>
      <c r="I143" s="189">
        <v>3635.4</v>
      </c>
      <c r="J143" s="189">
        <v>3360.2</v>
      </c>
      <c r="K143" s="189">
        <v>2816.2</v>
      </c>
      <c r="L143" s="187">
        <v>167</v>
      </c>
      <c r="M143" s="185" t="s">
        <v>271</v>
      </c>
      <c r="N143" s="185" t="s">
        <v>275</v>
      </c>
      <c r="O143" s="188" t="s">
        <v>1357</v>
      </c>
      <c r="P143" s="189">
        <v>2901759.67</v>
      </c>
      <c r="Q143" s="189">
        <v>0</v>
      </c>
      <c r="R143" s="189">
        <v>0</v>
      </c>
      <c r="S143" s="189">
        <f t="shared" si="18"/>
        <v>2901759.67</v>
      </c>
      <c r="T143" s="189">
        <f t="shared" si="19"/>
        <v>798.19543103922535</v>
      </c>
      <c r="U143" s="189">
        <v>3929.63</v>
      </c>
      <c r="V143" s="170">
        <f t="shared" si="15"/>
        <v>3131.4345689607749</v>
      </c>
      <c r="W143" s="170"/>
      <c r="X143" s="170"/>
      <c r="Y143" s="173" t="e">
        <f t="shared" si="16"/>
        <v>#N/A</v>
      </c>
      <c r="AA143" s="173" t="e">
        <f t="shared" si="11"/>
        <v>#N/A</v>
      </c>
      <c r="AC143" s="173" t="s">
        <v>1220</v>
      </c>
      <c r="AD143" s="173">
        <v>484</v>
      </c>
      <c r="AH143" s="173" t="e">
        <f t="shared" si="12"/>
        <v>#N/A</v>
      </c>
      <c r="AS143" s="173" t="e">
        <f t="shared" si="13"/>
        <v>#N/A</v>
      </c>
    </row>
    <row r="144" spans="1:45" s="173" customFormat="1" ht="36" customHeight="1" x14ac:dyDescent="0.9">
      <c r="A144" s="173">
        <v>1</v>
      </c>
      <c r="B144" s="91">
        <f>SUBTOTAL(103,$A$16:A144)</f>
        <v>128</v>
      </c>
      <c r="C144" s="90" t="s">
        <v>1176</v>
      </c>
      <c r="D144" s="185">
        <v>1985</v>
      </c>
      <c r="E144" s="185">
        <v>2014</v>
      </c>
      <c r="F144" s="191" t="s">
        <v>273</v>
      </c>
      <c r="G144" s="185">
        <v>9</v>
      </c>
      <c r="H144" s="185">
        <v>3</v>
      </c>
      <c r="I144" s="189">
        <v>7073.4</v>
      </c>
      <c r="J144" s="189">
        <v>6236.1</v>
      </c>
      <c r="K144" s="189">
        <v>5083.1000000000004</v>
      </c>
      <c r="L144" s="187">
        <v>235</v>
      </c>
      <c r="M144" s="185" t="s">
        <v>271</v>
      </c>
      <c r="N144" s="185" t="s">
        <v>275</v>
      </c>
      <c r="O144" s="188" t="s">
        <v>1357</v>
      </c>
      <c r="P144" s="189">
        <v>5068816.8</v>
      </c>
      <c r="Q144" s="189">
        <v>0</v>
      </c>
      <c r="R144" s="189">
        <v>0</v>
      </c>
      <c r="S144" s="189">
        <f t="shared" si="18"/>
        <v>5068816.8</v>
      </c>
      <c r="T144" s="189">
        <f t="shared" si="19"/>
        <v>716.60259564000341</v>
      </c>
      <c r="U144" s="189">
        <v>3602.6400000000003</v>
      </c>
      <c r="V144" s="170">
        <f t="shared" si="15"/>
        <v>2886.0374043599968</v>
      </c>
      <c r="W144" s="170"/>
      <c r="X144" s="170"/>
      <c r="Y144" s="173" t="e">
        <f t="shared" si="16"/>
        <v>#N/A</v>
      </c>
      <c r="AA144" s="173" t="e">
        <f t="shared" ref="AA144:AA207" si="20">VLOOKUP(C144,AC:AE,2,FALSE)</f>
        <v>#N/A</v>
      </c>
      <c r="AC144" s="173" t="s">
        <v>1380</v>
      </c>
      <c r="AD144" s="173">
        <v>439.23</v>
      </c>
      <c r="AH144" s="173" t="e">
        <f t="shared" ref="AH144:AH207" si="21">VLOOKUP(C144,AJ:AK,2,FALSE)</f>
        <v>#N/A</v>
      </c>
      <c r="AS144" s="173" t="e">
        <f t="shared" ref="AS144:AS207" si="22">VLOOKUP(C144,AU:AV,2,FALSE)</f>
        <v>#N/A</v>
      </c>
    </row>
    <row r="145" spans="1:45" s="173" customFormat="1" ht="36" customHeight="1" x14ac:dyDescent="0.9">
      <c r="A145" s="173">
        <v>1</v>
      </c>
      <c r="B145" s="91">
        <f>SUBTOTAL(103,$A$16:A145)</f>
        <v>129</v>
      </c>
      <c r="C145" s="90" t="s">
        <v>1177</v>
      </c>
      <c r="D145" s="185">
        <v>1966</v>
      </c>
      <c r="E145" s="185"/>
      <c r="F145" s="191" t="s">
        <v>273</v>
      </c>
      <c r="G145" s="185">
        <v>2</v>
      </c>
      <c r="H145" s="185">
        <v>2</v>
      </c>
      <c r="I145" s="189">
        <v>787.5</v>
      </c>
      <c r="J145" s="189">
        <v>727.8</v>
      </c>
      <c r="K145" s="189">
        <v>727.8</v>
      </c>
      <c r="L145" s="187">
        <v>35</v>
      </c>
      <c r="M145" s="185" t="s">
        <v>271</v>
      </c>
      <c r="N145" s="185" t="s">
        <v>272</v>
      </c>
      <c r="O145" s="188" t="s">
        <v>274</v>
      </c>
      <c r="P145" s="189">
        <v>2486221.36</v>
      </c>
      <c r="Q145" s="189">
        <v>0</v>
      </c>
      <c r="R145" s="189">
        <v>0</v>
      </c>
      <c r="S145" s="189">
        <f t="shared" si="18"/>
        <v>2486221.36</v>
      </c>
      <c r="T145" s="189">
        <f t="shared" si="19"/>
        <v>3157.1064888888886</v>
      </c>
      <c r="U145" s="189">
        <f>T145</f>
        <v>3157.1064888888886</v>
      </c>
      <c r="V145" s="170">
        <f t="shared" si="15"/>
        <v>0</v>
      </c>
      <c r="W145" s="170"/>
      <c r="X145" s="170"/>
      <c r="Y145" s="173">
        <f t="shared" si="16"/>
        <v>4199.5870628571438</v>
      </c>
      <c r="AA145" s="173">
        <f t="shared" si="20"/>
        <v>633.34</v>
      </c>
      <c r="AC145" s="173" t="s">
        <v>1379</v>
      </c>
      <c r="AD145" s="173">
        <v>524.41999999999996</v>
      </c>
      <c r="AH145" s="173" t="e">
        <f t="shared" si="21"/>
        <v>#N/A</v>
      </c>
      <c r="AS145" s="173" t="e">
        <f t="shared" si="22"/>
        <v>#N/A</v>
      </c>
    </row>
    <row r="146" spans="1:45" s="173" customFormat="1" ht="36" customHeight="1" x14ac:dyDescent="0.9">
      <c r="A146" s="173">
        <v>1</v>
      </c>
      <c r="B146" s="91">
        <f>SUBTOTAL(103,$A$16:A146)</f>
        <v>130</v>
      </c>
      <c r="C146" s="90" t="s">
        <v>1313</v>
      </c>
      <c r="D146" s="185">
        <v>1977</v>
      </c>
      <c r="E146" s="185"/>
      <c r="F146" s="191" t="s">
        <v>326</v>
      </c>
      <c r="G146" s="185">
        <v>5</v>
      </c>
      <c r="H146" s="185">
        <v>8</v>
      </c>
      <c r="I146" s="189">
        <v>6715.9</v>
      </c>
      <c r="J146" s="189">
        <v>6150.8</v>
      </c>
      <c r="K146" s="189">
        <v>5734.8</v>
      </c>
      <c r="L146" s="187">
        <v>309</v>
      </c>
      <c r="M146" s="185" t="s">
        <v>271</v>
      </c>
      <c r="N146" s="185" t="s">
        <v>275</v>
      </c>
      <c r="O146" s="188" t="s">
        <v>1381</v>
      </c>
      <c r="P146" s="189">
        <v>6724715.4900000002</v>
      </c>
      <c r="Q146" s="189">
        <v>0</v>
      </c>
      <c r="R146" s="189">
        <v>0</v>
      </c>
      <c r="S146" s="189">
        <f t="shared" si="18"/>
        <v>6724715.4900000002</v>
      </c>
      <c r="T146" s="189">
        <f t="shared" si="19"/>
        <v>1001.3126297294481</v>
      </c>
      <c r="U146" s="189">
        <f>Y146</f>
        <v>1302.1260679879094</v>
      </c>
      <c r="V146" s="170">
        <f t="shared" ref="V146:V209" si="23">U146-T146</f>
        <v>300.81343825846136</v>
      </c>
      <c r="W146" s="170"/>
      <c r="X146" s="170"/>
      <c r="Y146" s="173">
        <f t="shared" ref="Y146:Y209" si="24">AA146*5221.8/I146</f>
        <v>1302.1260679879094</v>
      </c>
      <c r="AA146" s="173">
        <f t="shared" si="20"/>
        <v>1674.7</v>
      </c>
      <c r="AC146" s="173" t="s">
        <v>1601</v>
      </c>
      <c r="AD146" s="173">
        <v>1010.5</v>
      </c>
      <c r="AH146" s="173" t="e">
        <f t="shared" si="21"/>
        <v>#N/A</v>
      </c>
      <c r="AS146" s="173" t="e">
        <f t="shared" si="22"/>
        <v>#N/A</v>
      </c>
    </row>
    <row r="147" spans="1:45" s="173" customFormat="1" ht="36" customHeight="1" x14ac:dyDescent="0.9">
      <c r="A147" s="173">
        <v>1</v>
      </c>
      <c r="B147" s="91">
        <f>SUBTOTAL(103,$A$16:A147)</f>
        <v>131</v>
      </c>
      <c r="C147" s="90" t="s">
        <v>473</v>
      </c>
      <c r="D147" s="185">
        <v>1970</v>
      </c>
      <c r="E147" s="185"/>
      <c r="F147" s="191" t="s">
        <v>273</v>
      </c>
      <c r="G147" s="185">
        <v>2</v>
      </c>
      <c r="H147" s="185">
        <v>2</v>
      </c>
      <c r="I147" s="189">
        <v>794.8</v>
      </c>
      <c r="J147" s="189">
        <v>737.8</v>
      </c>
      <c r="K147" s="189">
        <v>636.70000000000005</v>
      </c>
      <c r="L147" s="187">
        <v>42</v>
      </c>
      <c r="M147" s="185" t="s">
        <v>271</v>
      </c>
      <c r="N147" s="185" t="s">
        <v>272</v>
      </c>
      <c r="O147" s="188" t="s">
        <v>274</v>
      </c>
      <c r="P147" s="189">
        <v>4358701.74</v>
      </c>
      <c r="Q147" s="189">
        <v>0</v>
      </c>
      <c r="R147" s="189">
        <v>0</v>
      </c>
      <c r="S147" s="189">
        <f t="shared" si="18"/>
        <v>4358701.74</v>
      </c>
      <c r="T147" s="189">
        <f t="shared" si="19"/>
        <v>5484.0233266230507</v>
      </c>
      <c r="U147" s="189">
        <f>T147</f>
        <v>5484.0233266230507</v>
      </c>
      <c r="V147" s="170">
        <f t="shared" si="23"/>
        <v>0</v>
      </c>
      <c r="W147" s="170"/>
      <c r="X147" s="170"/>
      <c r="Y147" s="173">
        <f t="shared" si="24"/>
        <v>4723.7974333165585</v>
      </c>
      <c r="AA147" s="173">
        <f t="shared" si="20"/>
        <v>719</v>
      </c>
      <c r="AC147" s="173" t="s">
        <v>657</v>
      </c>
      <c r="AD147" s="173">
        <v>1399.31</v>
      </c>
      <c r="AH147" s="173" t="e">
        <f t="shared" si="21"/>
        <v>#N/A</v>
      </c>
      <c r="AS147" s="173" t="e">
        <f t="shared" si="22"/>
        <v>#N/A</v>
      </c>
    </row>
    <row r="148" spans="1:45" s="173" customFormat="1" ht="36" customHeight="1" x14ac:dyDescent="0.9">
      <c r="A148" s="173">
        <v>1</v>
      </c>
      <c r="B148" s="91">
        <f>SUBTOTAL(103,$A$16:A148)</f>
        <v>132</v>
      </c>
      <c r="C148" s="90" t="s">
        <v>1314</v>
      </c>
      <c r="D148" s="185">
        <v>1978</v>
      </c>
      <c r="E148" s="185"/>
      <c r="F148" s="191" t="s">
        <v>338</v>
      </c>
      <c r="G148" s="185">
        <v>3</v>
      </c>
      <c r="H148" s="185">
        <v>2</v>
      </c>
      <c r="I148" s="189">
        <v>873.7</v>
      </c>
      <c r="J148" s="189">
        <v>873.7</v>
      </c>
      <c r="K148" s="189">
        <v>691.7</v>
      </c>
      <c r="L148" s="187">
        <v>31</v>
      </c>
      <c r="M148" s="185" t="s">
        <v>271</v>
      </c>
      <c r="N148" s="185" t="s">
        <v>272</v>
      </c>
      <c r="O148" s="188" t="s">
        <v>274</v>
      </c>
      <c r="P148" s="189">
        <v>3032293.2399999998</v>
      </c>
      <c r="Q148" s="189">
        <v>0</v>
      </c>
      <c r="R148" s="189">
        <v>0</v>
      </c>
      <c r="S148" s="189">
        <f t="shared" si="18"/>
        <v>3032293.2399999998</v>
      </c>
      <c r="T148" s="189">
        <f t="shared" si="19"/>
        <v>3470.6343596200063</v>
      </c>
      <c r="U148" s="189">
        <f>AG148</f>
        <v>4203.1979008813087</v>
      </c>
      <c r="V148" s="170">
        <f t="shared" si="23"/>
        <v>732.56354126130236</v>
      </c>
      <c r="W148" s="170"/>
      <c r="X148" s="170"/>
      <c r="Y148" s="173" t="e">
        <f t="shared" si="24"/>
        <v>#N/A</v>
      </c>
      <c r="AA148" s="173" t="e">
        <f t="shared" si="20"/>
        <v>#N/A</v>
      </c>
      <c r="AC148" s="173" t="s">
        <v>663</v>
      </c>
      <c r="AD148" s="173">
        <v>1122.5</v>
      </c>
      <c r="AG148" s="173">
        <f>AH148*6191.24/J148</f>
        <v>4203.1979008813087</v>
      </c>
      <c r="AH148" s="173">
        <f t="shared" si="21"/>
        <v>593.15</v>
      </c>
      <c r="AS148" s="173" t="e">
        <f t="shared" si="22"/>
        <v>#N/A</v>
      </c>
    </row>
    <row r="149" spans="1:45" s="173" customFormat="1" ht="36" customHeight="1" x14ac:dyDescent="0.9">
      <c r="A149" s="173">
        <v>1</v>
      </c>
      <c r="B149" s="91">
        <f>SUBTOTAL(103,$A$16:A149)</f>
        <v>133</v>
      </c>
      <c r="C149" s="90" t="s">
        <v>1602</v>
      </c>
      <c r="D149" s="185">
        <v>1927</v>
      </c>
      <c r="E149" s="185"/>
      <c r="F149" s="191" t="s">
        <v>1620</v>
      </c>
      <c r="G149" s="185">
        <v>2</v>
      </c>
      <c r="H149" s="185">
        <v>2</v>
      </c>
      <c r="I149" s="189">
        <v>474.6</v>
      </c>
      <c r="J149" s="189">
        <v>239.9</v>
      </c>
      <c r="K149" s="189">
        <v>239.9</v>
      </c>
      <c r="L149" s="187">
        <v>13</v>
      </c>
      <c r="M149" s="185" t="s">
        <v>271</v>
      </c>
      <c r="N149" s="185" t="s">
        <v>275</v>
      </c>
      <c r="O149" s="188" t="s">
        <v>1619</v>
      </c>
      <c r="P149" s="189">
        <v>2944456.9299999997</v>
      </c>
      <c r="Q149" s="189">
        <v>0</v>
      </c>
      <c r="R149" s="189">
        <v>0</v>
      </c>
      <c r="S149" s="189">
        <f>P149-R149-Q149</f>
        <v>2944456.9299999997</v>
      </c>
      <c r="T149" s="189">
        <f t="shared" si="19"/>
        <v>6204.0811841550767</v>
      </c>
      <c r="U149" s="189">
        <f>AG149</f>
        <v>16377.494389328887</v>
      </c>
      <c r="V149" s="170">
        <f t="shared" si="23"/>
        <v>10173.413205173811</v>
      </c>
      <c r="W149" s="170"/>
      <c r="X149" s="170"/>
      <c r="Y149" s="173" t="e">
        <f t="shared" si="24"/>
        <v>#N/A</v>
      </c>
      <c r="AA149" s="173" t="e">
        <f t="shared" si="20"/>
        <v>#N/A</v>
      </c>
      <c r="AC149" s="173" t="s">
        <v>1221</v>
      </c>
      <c r="AD149" s="173">
        <v>1161</v>
      </c>
      <c r="AG149" s="173">
        <f>AH149*6191.24/J149</f>
        <v>16377.494389328887</v>
      </c>
      <c r="AH149" s="173">
        <f t="shared" si="21"/>
        <v>634.6</v>
      </c>
      <c r="AS149" s="173" t="e">
        <f t="shared" si="22"/>
        <v>#N/A</v>
      </c>
    </row>
    <row r="150" spans="1:45" s="173" customFormat="1" ht="36" customHeight="1" x14ac:dyDescent="0.9">
      <c r="B150" s="90" t="s">
        <v>782</v>
      </c>
      <c r="C150" s="192"/>
      <c r="D150" s="185" t="s">
        <v>915</v>
      </c>
      <c r="E150" s="185" t="s">
        <v>915</v>
      </c>
      <c r="F150" s="185" t="s">
        <v>915</v>
      </c>
      <c r="G150" s="185" t="s">
        <v>915</v>
      </c>
      <c r="H150" s="185" t="s">
        <v>915</v>
      </c>
      <c r="I150" s="186">
        <f>SUM(I151:I189)</f>
        <v>113222.80999999998</v>
      </c>
      <c r="J150" s="186">
        <f>SUM(J151:J189)</f>
        <v>96465.719999999987</v>
      </c>
      <c r="K150" s="186">
        <f>SUM(K151:K189)</f>
        <v>89896.369999999981</v>
      </c>
      <c r="L150" s="187">
        <f>SUM(L151:L189)</f>
        <v>4316</v>
      </c>
      <c r="M150" s="185" t="s">
        <v>915</v>
      </c>
      <c r="N150" s="185" t="s">
        <v>915</v>
      </c>
      <c r="O150" s="188" t="s">
        <v>915</v>
      </c>
      <c r="P150" s="186">
        <v>138223700.99000001</v>
      </c>
      <c r="Q150" s="186">
        <f>SUM(Q151:Q189)</f>
        <v>0</v>
      </c>
      <c r="R150" s="186">
        <f>SUM(R151:R189)</f>
        <v>0</v>
      </c>
      <c r="S150" s="186">
        <f>SUM(S151:S189)</f>
        <v>138223700.99000001</v>
      </c>
      <c r="T150" s="189">
        <f t="shared" si="19"/>
        <v>1220.811433579506</v>
      </c>
      <c r="U150" s="189">
        <f>MAX(U151:U189)</f>
        <v>6420.6446003850215</v>
      </c>
      <c r="V150" s="170">
        <f t="shared" si="23"/>
        <v>5199.8331668055152</v>
      </c>
      <c r="W150" s="170"/>
      <c r="X150" s="170"/>
      <c r="Y150" s="173" t="e">
        <f t="shared" si="24"/>
        <v>#N/A</v>
      </c>
      <c r="AA150" s="173" t="e">
        <f t="shared" si="20"/>
        <v>#N/A</v>
      </c>
      <c r="AC150" s="173" t="s">
        <v>1223</v>
      </c>
      <c r="AD150" s="173">
        <v>452.1</v>
      </c>
      <c r="AH150" s="173" t="e">
        <f t="shared" si="21"/>
        <v>#N/A</v>
      </c>
      <c r="AS150" s="173" t="e">
        <f t="shared" si="22"/>
        <v>#N/A</v>
      </c>
    </row>
    <row r="151" spans="1:45" s="173" customFormat="1" ht="36" customHeight="1" x14ac:dyDescent="0.9">
      <c r="A151" s="173">
        <v>1</v>
      </c>
      <c r="B151" s="91">
        <f>SUBTOTAL(103,$A$16:A151)</f>
        <v>134</v>
      </c>
      <c r="C151" s="90" t="s">
        <v>396</v>
      </c>
      <c r="D151" s="185">
        <v>1974</v>
      </c>
      <c r="E151" s="185"/>
      <c r="F151" s="191" t="s">
        <v>319</v>
      </c>
      <c r="G151" s="185">
        <v>5</v>
      </c>
      <c r="H151" s="185">
        <v>6</v>
      </c>
      <c r="I151" s="189">
        <v>4988.6899999999996</v>
      </c>
      <c r="J151" s="189">
        <v>4519.59</v>
      </c>
      <c r="K151" s="189">
        <v>4250.8900000000003</v>
      </c>
      <c r="L151" s="187">
        <v>200</v>
      </c>
      <c r="M151" s="185" t="s">
        <v>271</v>
      </c>
      <c r="N151" s="185" t="s">
        <v>275</v>
      </c>
      <c r="O151" s="188" t="s">
        <v>329</v>
      </c>
      <c r="P151" s="189">
        <v>2661055.0599999996</v>
      </c>
      <c r="Q151" s="189">
        <v>0</v>
      </c>
      <c r="R151" s="189">
        <v>0</v>
      </c>
      <c r="S151" s="189">
        <f t="shared" ref="S151:S185" si="25">P151-Q151-R151</f>
        <v>2661055.0599999996</v>
      </c>
      <c r="T151" s="189">
        <f t="shared" si="19"/>
        <v>533.41760261711988</v>
      </c>
      <c r="U151" s="189">
        <f>Y151</f>
        <v>1160.8000825868116</v>
      </c>
      <c r="V151" s="170">
        <f t="shared" si="23"/>
        <v>627.38247996969176</v>
      </c>
      <c r="W151" s="170"/>
      <c r="X151" s="170"/>
      <c r="Y151" s="173">
        <f t="shared" si="24"/>
        <v>1160.8000825868116</v>
      </c>
      <c r="AA151" s="173">
        <f t="shared" si="20"/>
        <v>1108.98</v>
      </c>
      <c r="AC151" s="173" t="s">
        <v>1224</v>
      </c>
      <c r="AD151" s="173">
        <v>992</v>
      </c>
      <c r="AH151" s="173" t="e">
        <f t="shared" si="21"/>
        <v>#N/A</v>
      </c>
      <c r="AS151" s="173" t="e">
        <f t="shared" si="22"/>
        <v>#N/A</v>
      </c>
    </row>
    <row r="152" spans="1:45" s="173" customFormat="1" ht="36" customHeight="1" x14ac:dyDescent="0.9">
      <c r="A152" s="173">
        <v>1</v>
      </c>
      <c r="B152" s="91">
        <f>SUBTOTAL(103,$A$16:A152)</f>
        <v>135</v>
      </c>
      <c r="C152" s="90" t="s">
        <v>397</v>
      </c>
      <c r="D152" s="185">
        <v>1975</v>
      </c>
      <c r="E152" s="185"/>
      <c r="F152" s="191" t="s">
        <v>319</v>
      </c>
      <c r="G152" s="185">
        <v>5</v>
      </c>
      <c r="H152" s="185">
        <v>8</v>
      </c>
      <c r="I152" s="189">
        <v>6689.89</v>
      </c>
      <c r="J152" s="189">
        <v>6122.82</v>
      </c>
      <c r="K152" s="189">
        <v>5460.0199999999995</v>
      </c>
      <c r="L152" s="187">
        <v>285</v>
      </c>
      <c r="M152" s="185" t="s">
        <v>271</v>
      </c>
      <c r="N152" s="185" t="s">
        <v>275</v>
      </c>
      <c r="O152" s="188" t="s">
        <v>1016</v>
      </c>
      <c r="P152" s="189">
        <v>3090535.5400000005</v>
      </c>
      <c r="Q152" s="189">
        <v>0</v>
      </c>
      <c r="R152" s="189">
        <v>0</v>
      </c>
      <c r="S152" s="189">
        <f t="shared" si="25"/>
        <v>3090535.5400000005</v>
      </c>
      <c r="T152" s="189">
        <f t="shared" si="19"/>
        <v>461.97105483049802</v>
      </c>
      <c r="U152" s="189">
        <v>3080.1800000000003</v>
      </c>
      <c r="V152" s="170">
        <f t="shared" si="23"/>
        <v>2618.2089451695024</v>
      </c>
      <c r="W152" s="170"/>
      <c r="X152" s="170"/>
      <c r="Y152" s="173" t="e">
        <f t="shared" si="24"/>
        <v>#N/A</v>
      </c>
      <c r="AA152" s="173" t="e">
        <f t="shared" si="20"/>
        <v>#N/A</v>
      </c>
      <c r="AC152" s="173" t="s">
        <v>661</v>
      </c>
      <c r="AD152" s="173">
        <v>796.1</v>
      </c>
      <c r="AH152" s="173" t="e">
        <f t="shared" si="21"/>
        <v>#N/A</v>
      </c>
      <c r="AS152" s="173" t="e">
        <f t="shared" si="22"/>
        <v>#N/A</v>
      </c>
    </row>
    <row r="153" spans="1:45" s="173" customFormat="1" ht="36" customHeight="1" x14ac:dyDescent="0.9">
      <c r="A153" s="173">
        <v>1</v>
      </c>
      <c r="B153" s="91">
        <f>SUBTOTAL(103,$A$16:A153)</f>
        <v>136</v>
      </c>
      <c r="C153" s="90" t="s">
        <v>398</v>
      </c>
      <c r="D153" s="185">
        <v>1954</v>
      </c>
      <c r="E153" s="185"/>
      <c r="F153" s="191" t="s">
        <v>273</v>
      </c>
      <c r="G153" s="185">
        <v>2</v>
      </c>
      <c r="H153" s="185">
        <v>3</v>
      </c>
      <c r="I153" s="189">
        <v>641.79999999999995</v>
      </c>
      <c r="J153" s="189">
        <v>552.4</v>
      </c>
      <c r="K153" s="189">
        <v>505.4</v>
      </c>
      <c r="L153" s="187">
        <v>34</v>
      </c>
      <c r="M153" s="185" t="s">
        <v>271</v>
      </c>
      <c r="N153" s="185" t="s">
        <v>275</v>
      </c>
      <c r="O153" s="188" t="s">
        <v>329</v>
      </c>
      <c r="P153" s="189">
        <v>3235281</v>
      </c>
      <c r="Q153" s="189">
        <v>0</v>
      </c>
      <c r="R153" s="189">
        <v>0</v>
      </c>
      <c r="S153" s="189">
        <f t="shared" si="25"/>
        <v>3235281</v>
      </c>
      <c r="T153" s="189">
        <f t="shared" si="19"/>
        <v>5040.9488937363667</v>
      </c>
      <c r="U153" s="189">
        <f>T153</f>
        <v>5040.9488937363667</v>
      </c>
      <c r="V153" s="170">
        <f t="shared" si="23"/>
        <v>0</v>
      </c>
      <c r="W153" s="170"/>
      <c r="X153" s="170"/>
      <c r="Y153" s="173">
        <f t="shared" si="24"/>
        <v>4881.7076971019014</v>
      </c>
      <c r="AA153" s="173">
        <f t="shared" si="20"/>
        <v>600</v>
      </c>
      <c r="AC153" s="173" t="s">
        <v>671</v>
      </c>
      <c r="AD153" s="173">
        <v>374</v>
      </c>
      <c r="AH153" s="173" t="e">
        <f t="shared" si="21"/>
        <v>#N/A</v>
      </c>
      <c r="AS153" s="173" t="e">
        <f t="shared" si="22"/>
        <v>#N/A</v>
      </c>
    </row>
    <row r="154" spans="1:45" s="173" customFormat="1" ht="36" customHeight="1" x14ac:dyDescent="0.9">
      <c r="A154" s="173">
        <v>1</v>
      </c>
      <c r="B154" s="91">
        <f>SUBTOTAL(103,$A$16:A154)</f>
        <v>137</v>
      </c>
      <c r="C154" s="90" t="s">
        <v>399</v>
      </c>
      <c r="D154" s="185">
        <v>1975</v>
      </c>
      <c r="E154" s="185"/>
      <c r="F154" s="191" t="s">
        <v>273</v>
      </c>
      <c r="G154" s="185">
        <v>5</v>
      </c>
      <c r="H154" s="185">
        <v>4</v>
      </c>
      <c r="I154" s="189">
        <v>3325.2</v>
      </c>
      <c r="J154" s="189">
        <v>2700</v>
      </c>
      <c r="K154" s="189">
        <v>2574</v>
      </c>
      <c r="L154" s="187">
        <v>116</v>
      </c>
      <c r="M154" s="185" t="s">
        <v>271</v>
      </c>
      <c r="N154" s="185" t="s">
        <v>275</v>
      </c>
      <c r="O154" s="188" t="s">
        <v>330</v>
      </c>
      <c r="P154" s="189">
        <v>5318280.9000000004</v>
      </c>
      <c r="Q154" s="189">
        <v>0</v>
      </c>
      <c r="R154" s="189">
        <v>0</v>
      </c>
      <c r="S154" s="189">
        <f t="shared" si="25"/>
        <v>5318280.9000000004</v>
      </c>
      <c r="T154" s="189">
        <f t="shared" si="19"/>
        <v>1599.3867737278963</v>
      </c>
      <c r="U154" s="189">
        <f>T154</f>
        <v>1599.3867737278963</v>
      </c>
      <c r="V154" s="170">
        <f t="shared" si="23"/>
        <v>0</v>
      </c>
      <c r="W154" s="170"/>
      <c r="X154" s="170"/>
      <c r="Y154" s="173">
        <f t="shared" si="24"/>
        <v>1457.3049440635152</v>
      </c>
      <c r="AA154" s="173">
        <f t="shared" si="20"/>
        <v>928</v>
      </c>
      <c r="AC154" s="173" t="s">
        <v>665</v>
      </c>
      <c r="AD154" s="173">
        <v>723.65</v>
      </c>
      <c r="AH154" s="173" t="e">
        <f t="shared" si="21"/>
        <v>#N/A</v>
      </c>
      <c r="AS154" s="173" t="e">
        <f t="shared" si="22"/>
        <v>#N/A</v>
      </c>
    </row>
    <row r="155" spans="1:45" s="173" customFormat="1" ht="36" customHeight="1" x14ac:dyDescent="0.9">
      <c r="A155" s="173">
        <v>1</v>
      </c>
      <c r="B155" s="91">
        <f>SUBTOTAL(103,$A$16:A155)</f>
        <v>138</v>
      </c>
      <c r="C155" s="90" t="s">
        <v>400</v>
      </c>
      <c r="D155" s="185">
        <v>1966</v>
      </c>
      <c r="E155" s="185"/>
      <c r="F155" s="191" t="s">
        <v>273</v>
      </c>
      <c r="G155" s="185">
        <v>4</v>
      </c>
      <c r="H155" s="185">
        <v>4</v>
      </c>
      <c r="I155" s="189">
        <v>2747.7</v>
      </c>
      <c r="J155" s="189">
        <v>2392.9</v>
      </c>
      <c r="K155" s="189">
        <v>2351.5</v>
      </c>
      <c r="L155" s="187">
        <v>113</v>
      </c>
      <c r="M155" s="185" t="s">
        <v>271</v>
      </c>
      <c r="N155" s="185" t="s">
        <v>275</v>
      </c>
      <c r="O155" s="188" t="s">
        <v>1016</v>
      </c>
      <c r="P155" s="189">
        <v>4506717.16</v>
      </c>
      <c r="Q155" s="189">
        <v>0</v>
      </c>
      <c r="R155" s="189">
        <v>0</v>
      </c>
      <c r="S155" s="189">
        <f t="shared" si="25"/>
        <v>4506717.16</v>
      </c>
      <c r="T155" s="189">
        <f t="shared" si="19"/>
        <v>1640.1780252574883</v>
      </c>
      <c r="U155" s="189">
        <f>Y155</f>
        <v>1854.8155912217492</v>
      </c>
      <c r="V155" s="170">
        <f t="shared" si="23"/>
        <v>214.63756596426083</v>
      </c>
      <c r="W155" s="170"/>
      <c r="X155" s="170"/>
      <c r="Y155" s="173">
        <f t="shared" si="24"/>
        <v>1854.8155912217492</v>
      </c>
      <c r="AA155" s="173">
        <f t="shared" si="20"/>
        <v>976</v>
      </c>
      <c r="AC155" s="173" t="s">
        <v>670</v>
      </c>
      <c r="AD155" s="173">
        <v>1151.4000000000001</v>
      </c>
      <c r="AH155" s="173" t="e">
        <f t="shared" si="21"/>
        <v>#N/A</v>
      </c>
      <c r="AS155" s="173" t="e">
        <f t="shared" si="22"/>
        <v>#N/A</v>
      </c>
    </row>
    <row r="156" spans="1:45" s="173" customFormat="1" ht="36" customHeight="1" x14ac:dyDescent="0.9">
      <c r="A156" s="173">
        <v>1</v>
      </c>
      <c r="B156" s="91">
        <f>SUBTOTAL(103,$A$16:A156)</f>
        <v>139</v>
      </c>
      <c r="C156" s="90" t="s">
        <v>401</v>
      </c>
      <c r="D156" s="185" t="s">
        <v>331</v>
      </c>
      <c r="E156" s="185"/>
      <c r="F156" s="191" t="s">
        <v>273</v>
      </c>
      <c r="G156" s="185">
        <v>9</v>
      </c>
      <c r="H156" s="185">
        <v>3</v>
      </c>
      <c r="I156" s="189">
        <v>5754.2</v>
      </c>
      <c r="J156" s="189">
        <v>5754.2</v>
      </c>
      <c r="K156" s="189">
        <v>5645.8</v>
      </c>
      <c r="L156" s="187">
        <v>251</v>
      </c>
      <c r="M156" s="185" t="s">
        <v>271</v>
      </c>
      <c r="N156" s="185" t="s">
        <v>275</v>
      </c>
      <c r="O156" s="188" t="s">
        <v>330</v>
      </c>
      <c r="P156" s="189">
        <v>4873547.67</v>
      </c>
      <c r="Q156" s="189">
        <v>0</v>
      </c>
      <c r="R156" s="189">
        <v>0</v>
      </c>
      <c r="S156" s="189">
        <f t="shared" si="25"/>
        <v>4873547.67</v>
      </c>
      <c r="T156" s="189">
        <f t="shared" si="19"/>
        <v>846.95486253519175</v>
      </c>
      <c r="U156" s="189">
        <f>AR156</f>
        <v>1150.853115984846</v>
      </c>
      <c r="V156" s="170">
        <f t="shared" si="23"/>
        <v>303.89825344965425</v>
      </c>
      <c r="W156" s="170"/>
      <c r="X156" s="170"/>
      <c r="Y156" s="173" t="e">
        <f t="shared" si="24"/>
        <v>#N/A</v>
      </c>
      <c r="AA156" s="173" t="e">
        <f t="shared" si="20"/>
        <v>#N/A</v>
      </c>
      <c r="AC156" s="173" t="s">
        <v>1210</v>
      </c>
      <c r="AD156" s="173">
        <v>1995.2</v>
      </c>
      <c r="AH156" s="173" t="e">
        <f t="shared" si="21"/>
        <v>#N/A</v>
      </c>
      <c r="AR156" s="173">
        <f>AS156*2207413/I156</f>
        <v>1150.853115984846</v>
      </c>
      <c r="AS156" s="173">
        <f t="shared" si="22"/>
        <v>3</v>
      </c>
    </row>
    <row r="157" spans="1:45" s="173" customFormat="1" ht="36" customHeight="1" x14ac:dyDescent="0.9">
      <c r="A157" s="173">
        <v>1</v>
      </c>
      <c r="B157" s="91">
        <f>SUBTOTAL(103,$A$16:A157)</f>
        <v>140</v>
      </c>
      <c r="C157" s="90" t="s">
        <v>402</v>
      </c>
      <c r="D157" s="185">
        <v>1949</v>
      </c>
      <c r="E157" s="185"/>
      <c r="F157" s="191" t="s">
        <v>332</v>
      </c>
      <c r="G157" s="185">
        <v>2</v>
      </c>
      <c r="H157" s="185">
        <v>1</v>
      </c>
      <c r="I157" s="189">
        <v>499.5</v>
      </c>
      <c r="J157" s="189">
        <v>450.4</v>
      </c>
      <c r="K157" s="189">
        <v>450.4</v>
      </c>
      <c r="L157" s="187">
        <v>13</v>
      </c>
      <c r="M157" s="185" t="s">
        <v>271</v>
      </c>
      <c r="N157" s="185" t="s">
        <v>272</v>
      </c>
      <c r="O157" s="188" t="s">
        <v>274</v>
      </c>
      <c r="P157" s="189">
        <v>2248715.0900000003</v>
      </c>
      <c r="Q157" s="189">
        <v>0</v>
      </c>
      <c r="R157" s="189">
        <v>0</v>
      </c>
      <c r="S157" s="189">
        <f t="shared" si="25"/>
        <v>2248715.0900000003</v>
      </c>
      <c r="T157" s="189">
        <f t="shared" si="19"/>
        <v>4501.9321121121129</v>
      </c>
      <c r="U157" s="189">
        <f>Y157</f>
        <v>4639.5091891891898</v>
      </c>
      <c r="V157" s="170">
        <f t="shared" si="23"/>
        <v>137.57707707707686</v>
      </c>
      <c r="W157" s="170"/>
      <c r="X157" s="170"/>
      <c r="Y157" s="173">
        <f t="shared" si="24"/>
        <v>4639.5091891891898</v>
      </c>
      <c r="AA157" s="173">
        <f t="shared" si="20"/>
        <v>443.8</v>
      </c>
      <c r="AC157" s="173" t="s">
        <v>1609</v>
      </c>
      <c r="AD157" s="173">
        <v>780.17</v>
      </c>
      <c r="AH157" s="173" t="e">
        <f t="shared" si="21"/>
        <v>#N/A</v>
      </c>
      <c r="AS157" s="173" t="e">
        <f t="shared" si="22"/>
        <v>#N/A</v>
      </c>
    </row>
    <row r="158" spans="1:45" s="173" customFormat="1" ht="36" customHeight="1" x14ac:dyDescent="0.9">
      <c r="A158" s="173">
        <v>1</v>
      </c>
      <c r="B158" s="91">
        <f>SUBTOTAL(103,$A$16:A158)</f>
        <v>141</v>
      </c>
      <c r="C158" s="90" t="s">
        <v>403</v>
      </c>
      <c r="D158" s="185">
        <v>1992</v>
      </c>
      <c r="E158" s="185"/>
      <c r="F158" s="191" t="s">
        <v>273</v>
      </c>
      <c r="G158" s="185">
        <v>9</v>
      </c>
      <c r="H158" s="185">
        <v>3</v>
      </c>
      <c r="I158" s="189">
        <v>6502.8</v>
      </c>
      <c r="J158" s="189">
        <v>5918.2</v>
      </c>
      <c r="K158" s="189">
        <v>5402.9</v>
      </c>
      <c r="L158" s="187">
        <v>278</v>
      </c>
      <c r="M158" s="185" t="s">
        <v>271</v>
      </c>
      <c r="N158" s="185" t="s">
        <v>275</v>
      </c>
      <c r="O158" s="188" t="s">
        <v>1016</v>
      </c>
      <c r="P158" s="189">
        <v>4885396.4400000004</v>
      </c>
      <c r="Q158" s="189">
        <v>0</v>
      </c>
      <c r="R158" s="189">
        <v>0</v>
      </c>
      <c r="S158" s="189">
        <f t="shared" si="25"/>
        <v>4885396.4400000004</v>
      </c>
      <c r="T158" s="189">
        <f t="shared" si="19"/>
        <v>751.27582579811781</v>
      </c>
      <c r="U158" s="189">
        <f>AR158</f>
        <v>1018.3673186934858</v>
      </c>
      <c r="V158" s="170">
        <f t="shared" si="23"/>
        <v>267.09149289536799</v>
      </c>
      <c r="W158" s="170"/>
      <c r="X158" s="170"/>
      <c r="Y158" s="173" t="e">
        <f t="shared" si="24"/>
        <v>#N/A</v>
      </c>
      <c r="AA158" s="173" t="e">
        <f t="shared" si="20"/>
        <v>#N/A</v>
      </c>
      <c r="AC158" s="173" t="s">
        <v>675</v>
      </c>
      <c r="AD158" s="173">
        <v>1188</v>
      </c>
      <c r="AH158" s="173" t="e">
        <f t="shared" si="21"/>
        <v>#N/A</v>
      </c>
      <c r="AR158" s="173">
        <f>AS158*2207413/I158</f>
        <v>1018.3673186934858</v>
      </c>
      <c r="AS158" s="173">
        <f t="shared" si="22"/>
        <v>3</v>
      </c>
    </row>
    <row r="159" spans="1:45" s="173" customFormat="1" ht="36" customHeight="1" x14ac:dyDescent="0.9">
      <c r="A159" s="173">
        <v>1</v>
      </c>
      <c r="B159" s="91">
        <f>SUBTOTAL(103,$A$16:A159)</f>
        <v>142</v>
      </c>
      <c r="C159" s="90" t="s">
        <v>404</v>
      </c>
      <c r="D159" s="185">
        <v>1974</v>
      </c>
      <c r="E159" s="185"/>
      <c r="F159" s="191" t="s">
        <v>273</v>
      </c>
      <c r="G159" s="185">
        <v>5</v>
      </c>
      <c r="H159" s="185">
        <v>6</v>
      </c>
      <c r="I159" s="189">
        <v>5897.3</v>
      </c>
      <c r="J159" s="189">
        <v>4498.7</v>
      </c>
      <c r="K159" s="189">
        <v>4220.3</v>
      </c>
      <c r="L159" s="187">
        <v>209</v>
      </c>
      <c r="M159" s="185" t="s">
        <v>271</v>
      </c>
      <c r="N159" s="185" t="s">
        <v>275</v>
      </c>
      <c r="O159" s="188" t="s">
        <v>333</v>
      </c>
      <c r="P159" s="189">
        <v>7385099.7699999996</v>
      </c>
      <c r="Q159" s="189">
        <v>0</v>
      </c>
      <c r="R159" s="189">
        <v>0</v>
      </c>
      <c r="S159" s="189">
        <f t="shared" si="25"/>
        <v>7385099.7699999996</v>
      </c>
      <c r="T159" s="189">
        <f t="shared" si="19"/>
        <v>1252.2849049565054</v>
      </c>
      <c r="U159" s="189">
        <f>T159</f>
        <v>1252.2849049565054</v>
      </c>
      <c r="V159" s="170">
        <f t="shared" si="23"/>
        <v>0</v>
      </c>
      <c r="W159" s="170"/>
      <c r="X159" s="170"/>
      <c r="Y159" s="173">
        <f t="shared" si="24"/>
        <v>1399.0205687348448</v>
      </c>
      <c r="AA159" s="173">
        <f t="shared" si="20"/>
        <v>1580</v>
      </c>
      <c r="AC159" s="173" t="s">
        <v>1226</v>
      </c>
      <c r="AD159" s="173">
        <v>855</v>
      </c>
      <c r="AH159" s="173" t="e">
        <f t="shared" si="21"/>
        <v>#N/A</v>
      </c>
      <c r="AS159" s="173" t="e">
        <f t="shared" si="22"/>
        <v>#N/A</v>
      </c>
    </row>
    <row r="160" spans="1:45" s="173" customFormat="1" ht="36" customHeight="1" x14ac:dyDescent="0.9">
      <c r="A160" s="173">
        <v>1</v>
      </c>
      <c r="B160" s="91">
        <f>SUBTOTAL(103,$A$16:A160)</f>
        <v>143</v>
      </c>
      <c r="C160" s="90" t="s">
        <v>405</v>
      </c>
      <c r="D160" s="185">
        <v>1974</v>
      </c>
      <c r="E160" s="185"/>
      <c r="F160" s="191" t="s">
        <v>273</v>
      </c>
      <c r="G160" s="185">
        <v>5</v>
      </c>
      <c r="H160" s="185">
        <v>4</v>
      </c>
      <c r="I160" s="189">
        <v>3863.9</v>
      </c>
      <c r="J160" s="189">
        <v>2672.9</v>
      </c>
      <c r="K160" s="189">
        <v>2643.2000000000003</v>
      </c>
      <c r="L160" s="187">
        <v>116</v>
      </c>
      <c r="M160" s="185" t="s">
        <v>271</v>
      </c>
      <c r="N160" s="185" t="s">
        <v>275</v>
      </c>
      <c r="O160" s="188" t="s">
        <v>334</v>
      </c>
      <c r="P160" s="189">
        <v>5226218.99</v>
      </c>
      <c r="Q160" s="189">
        <v>0</v>
      </c>
      <c r="R160" s="189">
        <v>0</v>
      </c>
      <c r="S160" s="189">
        <f t="shared" si="25"/>
        <v>5226218.99</v>
      </c>
      <c r="T160" s="189">
        <f t="shared" si="19"/>
        <v>1352.5761510391055</v>
      </c>
      <c r="U160" s="189">
        <f>Y160</f>
        <v>1513.6043893475503</v>
      </c>
      <c r="V160" s="170">
        <f t="shared" si="23"/>
        <v>161.02823830844477</v>
      </c>
      <c r="W160" s="170"/>
      <c r="X160" s="170"/>
      <c r="Y160" s="173">
        <f t="shared" si="24"/>
        <v>1513.6043893475503</v>
      </c>
      <c r="AA160" s="173">
        <f t="shared" si="20"/>
        <v>1120</v>
      </c>
      <c r="AC160" s="173" t="s">
        <v>1212</v>
      </c>
      <c r="AD160" s="173">
        <v>1155.9000000000001</v>
      </c>
      <c r="AH160" s="173" t="e">
        <f t="shared" si="21"/>
        <v>#N/A</v>
      </c>
      <c r="AS160" s="173" t="e">
        <f t="shared" si="22"/>
        <v>#N/A</v>
      </c>
    </row>
    <row r="161" spans="1:45" s="173" customFormat="1" ht="36" customHeight="1" x14ac:dyDescent="0.9">
      <c r="A161" s="173">
        <v>1</v>
      </c>
      <c r="B161" s="91">
        <f>SUBTOTAL(103,$A$16:A161)</f>
        <v>144</v>
      </c>
      <c r="C161" s="90" t="s">
        <v>406</v>
      </c>
      <c r="D161" s="185">
        <v>1958</v>
      </c>
      <c r="E161" s="185"/>
      <c r="F161" s="191" t="s">
        <v>273</v>
      </c>
      <c r="G161" s="185">
        <v>2</v>
      </c>
      <c r="H161" s="185">
        <v>2</v>
      </c>
      <c r="I161" s="189">
        <v>592.70000000000005</v>
      </c>
      <c r="J161" s="189">
        <v>548</v>
      </c>
      <c r="K161" s="189">
        <v>517.1</v>
      </c>
      <c r="L161" s="187">
        <v>26</v>
      </c>
      <c r="M161" s="185" t="s">
        <v>271</v>
      </c>
      <c r="N161" s="185" t="s">
        <v>272</v>
      </c>
      <c r="O161" s="188" t="s">
        <v>274</v>
      </c>
      <c r="P161" s="189">
        <v>2222394.27</v>
      </c>
      <c r="Q161" s="189">
        <v>0</v>
      </c>
      <c r="R161" s="189">
        <v>0</v>
      </c>
      <c r="S161" s="189">
        <f t="shared" si="25"/>
        <v>2222394.27</v>
      </c>
      <c r="T161" s="189">
        <f t="shared" si="19"/>
        <v>3749.6107136831447</v>
      </c>
      <c r="U161" s="189">
        <f>Y161</f>
        <v>4167.2201788425846</v>
      </c>
      <c r="V161" s="170">
        <f t="shared" si="23"/>
        <v>417.60946515943988</v>
      </c>
      <c r="W161" s="170"/>
      <c r="X161" s="170"/>
      <c r="Y161" s="173">
        <f t="shared" si="24"/>
        <v>4167.2201788425846</v>
      </c>
      <c r="AA161" s="173">
        <f t="shared" si="20"/>
        <v>473</v>
      </c>
      <c r="AC161" s="173" t="s">
        <v>700</v>
      </c>
      <c r="AD161" s="173">
        <v>1022</v>
      </c>
      <c r="AH161" s="173" t="e">
        <f t="shared" si="21"/>
        <v>#N/A</v>
      </c>
      <c r="AS161" s="173" t="e">
        <f t="shared" si="22"/>
        <v>#N/A</v>
      </c>
    </row>
    <row r="162" spans="1:45" s="173" customFormat="1" ht="36" customHeight="1" x14ac:dyDescent="0.9">
      <c r="A162" s="173">
        <v>1</v>
      </c>
      <c r="B162" s="91">
        <f>SUBTOTAL(103,$A$16:A162)</f>
        <v>145</v>
      </c>
      <c r="C162" s="90" t="s">
        <v>407</v>
      </c>
      <c r="D162" s="185">
        <v>1961</v>
      </c>
      <c r="E162" s="185"/>
      <c r="F162" s="191" t="s">
        <v>273</v>
      </c>
      <c r="G162" s="185">
        <v>2</v>
      </c>
      <c r="H162" s="185">
        <v>2</v>
      </c>
      <c r="I162" s="189">
        <v>679.5</v>
      </c>
      <c r="J162" s="189">
        <v>630.79999999999995</v>
      </c>
      <c r="K162" s="189">
        <v>546.79999999999995</v>
      </c>
      <c r="L162" s="187">
        <v>41</v>
      </c>
      <c r="M162" s="185" t="s">
        <v>271</v>
      </c>
      <c r="N162" s="185" t="s">
        <v>275</v>
      </c>
      <c r="O162" s="188" t="s">
        <v>333</v>
      </c>
      <c r="P162" s="189">
        <v>2897372.4000000004</v>
      </c>
      <c r="Q162" s="189">
        <v>0</v>
      </c>
      <c r="R162" s="189">
        <v>0</v>
      </c>
      <c r="S162" s="189">
        <f t="shared" si="25"/>
        <v>2897372.4000000004</v>
      </c>
      <c r="T162" s="189">
        <f t="shared" si="19"/>
        <v>4263.977041942605</v>
      </c>
      <c r="U162" s="189">
        <f>T162</f>
        <v>4263.977041942605</v>
      </c>
      <c r="V162" s="170">
        <f t="shared" si="23"/>
        <v>0</v>
      </c>
      <c r="W162" s="170"/>
      <c r="X162" s="170"/>
      <c r="Y162" s="173">
        <f t="shared" si="24"/>
        <v>4226.622516556291</v>
      </c>
      <c r="AA162" s="173">
        <f t="shared" si="20"/>
        <v>550</v>
      </c>
      <c r="AC162" s="173" t="s">
        <v>698</v>
      </c>
      <c r="AD162" s="173">
        <v>243.96</v>
      </c>
      <c r="AH162" s="173" t="e">
        <f t="shared" si="21"/>
        <v>#N/A</v>
      </c>
      <c r="AS162" s="173" t="e">
        <f t="shared" si="22"/>
        <v>#N/A</v>
      </c>
    </row>
    <row r="163" spans="1:45" s="173" customFormat="1" ht="36" customHeight="1" x14ac:dyDescent="0.9">
      <c r="A163" s="173">
        <v>1</v>
      </c>
      <c r="B163" s="91">
        <f>SUBTOTAL(103,$A$16:A163)</f>
        <v>146</v>
      </c>
      <c r="C163" s="90" t="s">
        <v>408</v>
      </c>
      <c r="D163" s="185">
        <v>1973</v>
      </c>
      <c r="E163" s="185"/>
      <c r="F163" s="191" t="s">
        <v>273</v>
      </c>
      <c r="G163" s="185">
        <v>5</v>
      </c>
      <c r="H163" s="185">
        <v>2</v>
      </c>
      <c r="I163" s="189">
        <v>4577.26</v>
      </c>
      <c r="J163" s="189">
        <v>2783.1</v>
      </c>
      <c r="K163" s="189">
        <v>1846.94</v>
      </c>
      <c r="L163" s="187">
        <v>190</v>
      </c>
      <c r="M163" s="185" t="s">
        <v>271</v>
      </c>
      <c r="N163" s="185" t="s">
        <v>275</v>
      </c>
      <c r="O163" s="188" t="s">
        <v>335</v>
      </c>
      <c r="P163" s="189">
        <v>3951540.32</v>
      </c>
      <c r="Q163" s="189">
        <v>0</v>
      </c>
      <c r="R163" s="189">
        <v>0</v>
      </c>
      <c r="S163" s="189">
        <f t="shared" si="25"/>
        <v>3951540.32</v>
      </c>
      <c r="T163" s="189">
        <f t="shared" si="19"/>
        <v>863.29820023332729</v>
      </c>
      <c r="U163" s="189">
        <v>3191.9682342711576</v>
      </c>
      <c r="V163" s="170">
        <f t="shared" si="23"/>
        <v>2328.6700340378302</v>
      </c>
      <c r="W163" s="170"/>
      <c r="X163" s="170"/>
      <c r="Y163" s="173" t="e">
        <f t="shared" si="24"/>
        <v>#N/A</v>
      </c>
      <c r="AA163" s="173" t="e">
        <f t="shared" si="20"/>
        <v>#N/A</v>
      </c>
      <c r="AC163" s="173" t="s">
        <v>714</v>
      </c>
      <c r="AD163" s="173">
        <v>496</v>
      </c>
      <c r="AH163" s="173" t="e">
        <f t="shared" si="21"/>
        <v>#N/A</v>
      </c>
      <c r="AS163" s="173" t="e">
        <f t="shared" si="22"/>
        <v>#N/A</v>
      </c>
    </row>
    <row r="164" spans="1:45" s="173" customFormat="1" ht="36" customHeight="1" x14ac:dyDescent="0.9">
      <c r="A164" s="173">
        <v>1</v>
      </c>
      <c r="B164" s="91">
        <f>SUBTOTAL(103,$A$16:A164)</f>
        <v>147</v>
      </c>
      <c r="C164" s="90" t="s">
        <v>202</v>
      </c>
      <c r="D164" s="185">
        <v>1986</v>
      </c>
      <c r="E164" s="185"/>
      <c r="F164" s="191" t="s">
        <v>319</v>
      </c>
      <c r="G164" s="185">
        <v>5</v>
      </c>
      <c r="H164" s="185">
        <v>6</v>
      </c>
      <c r="I164" s="189">
        <v>5260.7000000000007</v>
      </c>
      <c r="J164" s="189">
        <v>4728.1000000000004</v>
      </c>
      <c r="K164" s="189">
        <v>4531.4000000000005</v>
      </c>
      <c r="L164" s="187">
        <v>196</v>
      </c>
      <c r="M164" s="185" t="s">
        <v>271</v>
      </c>
      <c r="N164" s="185" t="s">
        <v>275</v>
      </c>
      <c r="O164" s="188" t="s">
        <v>334</v>
      </c>
      <c r="P164" s="189">
        <v>2793603.33</v>
      </c>
      <c r="Q164" s="189">
        <v>0</v>
      </c>
      <c r="R164" s="189">
        <v>0</v>
      </c>
      <c r="S164" s="189">
        <f t="shared" si="25"/>
        <v>2793603.33</v>
      </c>
      <c r="T164" s="189">
        <f t="shared" si="19"/>
        <v>531.03262493584498</v>
      </c>
      <c r="U164" s="189">
        <f>Y164</f>
        <v>1320.1653772311668</v>
      </c>
      <c r="V164" s="170">
        <f t="shared" si="23"/>
        <v>789.13275229532178</v>
      </c>
      <c r="W164" s="170"/>
      <c r="X164" s="170"/>
      <c r="Y164" s="173">
        <f t="shared" si="24"/>
        <v>1320.1653772311668</v>
      </c>
      <c r="AA164" s="173">
        <f t="shared" si="20"/>
        <v>1330</v>
      </c>
      <c r="AC164" s="173" t="s">
        <v>703</v>
      </c>
      <c r="AD164" s="173">
        <v>701.9</v>
      </c>
      <c r="AH164" s="173" t="e">
        <f t="shared" si="21"/>
        <v>#N/A</v>
      </c>
      <c r="AS164" s="173" t="e">
        <f t="shared" si="22"/>
        <v>#N/A</v>
      </c>
    </row>
    <row r="165" spans="1:45" s="173" customFormat="1" ht="36" customHeight="1" x14ac:dyDescent="0.9">
      <c r="A165" s="173">
        <v>1</v>
      </c>
      <c r="B165" s="91">
        <f>SUBTOTAL(103,$A$16:A165)</f>
        <v>148</v>
      </c>
      <c r="C165" s="90" t="s">
        <v>409</v>
      </c>
      <c r="D165" s="185">
        <v>1951</v>
      </c>
      <c r="E165" s="185"/>
      <c r="F165" s="191" t="s">
        <v>332</v>
      </c>
      <c r="G165" s="185">
        <v>2</v>
      </c>
      <c r="H165" s="185">
        <v>1</v>
      </c>
      <c r="I165" s="189">
        <v>380.35</v>
      </c>
      <c r="J165" s="189">
        <v>339.86</v>
      </c>
      <c r="K165" s="189">
        <v>339.86</v>
      </c>
      <c r="L165" s="187">
        <v>17</v>
      </c>
      <c r="M165" s="185" t="s">
        <v>271</v>
      </c>
      <c r="N165" s="185" t="s">
        <v>275</v>
      </c>
      <c r="O165" s="188" t="s">
        <v>329</v>
      </c>
      <c r="P165" s="189">
        <v>1855795.01</v>
      </c>
      <c r="Q165" s="189">
        <v>0</v>
      </c>
      <c r="R165" s="189">
        <v>0</v>
      </c>
      <c r="S165" s="189">
        <f t="shared" si="25"/>
        <v>1855795.01</v>
      </c>
      <c r="T165" s="189">
        <f t="shared" si="19"/>
        <v>4879.1771000394374</v>
      </c>
      <c r="U165" s="189">
        <f>T165</f>
        <v>4879.1771000394374</v>
      </c>
      <c r="V165" s="170">
        <f t="shared" si="23"/>
        <v>0</v>
      </c>
      <c r="W165" s="170"/>
      <c r="X165" s="170"/>
      <c r="Y165" s="173">
        <f t="shared" si="24"/>
        <v>4695.295385828842</v>
      </c>
      <c r="AA165" s="173">
        <f t="shared" si="20"/>
        <v>342</v>
      </c>
      <c r="AC165" s="173" t="s">
        <v>707</v>
      </c>
      <c r="AD165" s="173">
        <v>705</v>
      </c>
      <c r="AH165" s="173" t="e">
        <f t="shared" si="21"/>
        <v>#N/A</v>
      </c>
      <c r="AS165" s="173" t="e">
        <f t="shared" si="22"/>
        <v>#N/A</v>
      </c>
    </row>
    <row r="166" spans="1:45" s="173" customFormat="1" ht="36" customHeight="1" x14ac:dyDescent="0.9">
      <c r="A166" s="173">
        <v>1</v>
      </c>
      <c r="B166" s="91">
        <f>SUBTOTAL(103,$A$16:A166)</f>
        <v>149</v>
      </c>
      <c r="C166" s="90" t="s">
        <v>410</v>
      </c>
      <c r="D166" s="185">
        <v>1972</v>
      </c>
      <c r="E166" s="185"/>
      <c r="F166" s="191" t="s">
        <v>273</v>
      </c>
      <c r="G166" s="185">
        <v>5</v>
      </c>
      <c r="H166" s="185">
        <v>8</v>
      </c>
      <c r="I166" s="189">
        <v>6552.3399999999992</v>
      </c>
      <c r="J166" s="189">
        <v>6023.94</v>
      </c>
      <c r="K166" s="189">
        <v>5588.4599999999991</v>
      </c>
      <c r="L166" s="187">
        <v>285</v>
      </c>
      <c r="M166" s="185" t="s">
        <v>271</v>
      </c>
      <c r="N166" s="185" t="s">
        <v>275</v>
      </c>
      <c r="O166" s="188" t="s">
        <v>336</v>
      </c>
      <c r="P166" s="189">
        <v>9454848.4199999999</v>
      </c>
      <c r="Q166" s="189">
        <v>0</v>
      </c>
      <c r="R166" s="189">
        <v>0</v>
      </c>
      <c r="S166" s="189">
        <f t="shared" si="25"/>
        <v>9454848.4199999999</v>
      </c>
      <c r="T166" s="189">
        <f t="shared" si="19"/>
        <v>1442.9728036090926</v>
      </c>
      <c r="U166" s="189">
        <f>Y166</f>
        <v>1611.4059404731745</v>
      </c>
      <c r="V166" s="170">
        <f t="shared" si="23"/>
        <v>168.43313686408192</v>
      </c>
      <c r="W166" s="170"/>
      <c r="X166" s="170"/>
      <c r="Y166" s="173">
        <f t="shared" si="24"/>
        <v>1611.4059404731745</v>
      </c>
      <c r="AA166" s="173">
        <f t="shared" si="20"/>
        <v>2022</v>
      </c>
      <c r="AC166" s="173" t="s">
        <v>691</v>
      </c>
      <c r="AD166" s="173">
        <v>795</v>
      </c>
      <c r="AH166" s="173" t="e">
        <f t="shared" si="21"/>
        <v>#N/A</v>
      </c>
      <c r="AS166" s="173" t="e">
        <f t="shared" si="22"/>
        <v>#N/A</v>
      </c>
    </row>
    <row r="167" spans="1:45" s="173" customFormat="1" ht="36" customHeight="1" x14ac:dyDescent="0.9">
      <c r="A167" s="173">
        <v>1</v>
      </c>
      <c r="B167" s="91">
        <f>SUBTOTAL(103,$A$16:A167)</f>
        <v>150</v>
      </c>
      <c r="C167" s="90" t="s">
        <v>1178</v>
      </c>
      <c r="D167" s="185">
        <v>1958</v>
      </c>
      <c r="E167" s="185"/>
      <c r="F167" s="191" t="s">
        <v>273</v>
      </c>
      <c r="G167" s="185">
        <v>2</v>
      </c>
      <c r="H167" s="185">
        <v>2</v>
      </c>
      <c r="I167" s="189">
        <v>731.63</v>
      </c>
      <c r="J167" s="189">
        <v>675.13</v>
      </c>
      <c r="K167" s="189">
        <v>675.13</v>
      </c>
      <c r="L167" s="187">
        <v>28</v>
      </c>
      <c r="M167" s="185" t="s">
        <v>271</v>
      </c>
      <c r="N167" s="185" t="s">
        <v>272</v>
      </c>
      <c r="O167" s="188" t="s">
        <v>274</v>
      </c>
      <c r="P167" s="189">
        <v>2217294.33</v>
      </c>
      <c r="Q167" s="189">
        <v>0</v>
      </c>
      <c r="R167" s="189">
        <v>0</v>
      </c>
      <c r="S167" s="189">
        <f t="shared" si="25"/>
        <v>2217294.33</v>
      </c>
      <c r="T167" s="189">
        <f t="shared" si="19"/>
        <v>3030.622486776103</v>
      </c>
      <c r="U167" s="189">
        <v>3697.55</v>
      </c>
      <c r="V167" s="170">
        <f t="shared" si="23"/>
        <v>666.92751322389722</v>
      </c>
      <c r="W167" s="170"/>
      <c r="X167" s="170"/>
      <c r="Y167" s="173" t="e">
        <f t="shared" si="24"/>
        <v>#N/A</v>
      </c>
      <c r="AA167" s="173" t="e">
        <f t="shared" si="20"/>
        <v>#N/A</v>
      </c>
      <c r="AC167" s="173" t="s">
        <v>686</v>
      </c>
      <c r="AD167" s="173">
        <v>900</v>
      </c>
      <c r="AH167" s="173" t="e">
        <f t="shared" si="21"/>
        <v>#N/A</v>
      </c>
      <c r="AS167" s="173" t="e">
        <f t="shared" si="22"/>
        <v>#N/A</v>
      </c>
    </row>
    <row r="168" spans="1:45" s="173" customFormat="1" ht="36" customHeight="1" x14ac:dyDescent="0.9">
      <c r="A168" s="173">
        <v>1</v>
      </c>
      <c r="B168" s="91">
        <f>SUBTOTAL(103,$A$16:A168)</f>
        <v>151</v>
      </c>
      <c r="C168" s="90" t="s">
        <v>1179</v>
      </c>
      <c r="D168" s="185">
        <v>1963</v>
      </c>
      <c r="E168" s="185"/>
      <c r="F168" s="191" t="s">
        <v>273</v>
      </c>
      <c r="G168" s="185">
        <v>3</v>
      </c>
      <c r="H168" s="185">
        <v>2</v>
      </c>
      <c r="I168" s="189">
        <v>720.17000000000007</v>
      </c>
      <c r="J168" s="189">
        <v>519.07000000000005</v>
      </c>
      <c r="K168" s="189">
        <v>460.94000000000005</v>
      </c>
      <c r="L168" s="187">
        <v>18</v>
      </c>
      <c r="M168" s="185" t="s">
        <v>271</v>
      </c>
      <c r="N168" s="185" t="s">
        <v>272</v>
      </c>
      <c r="O168" s="188" t="s">
        <v>274</v>
      </c>
      <c r="P168" s="189">
        <v>1557950.91</v>
      </c>
      <c r="Q168" s="189">
        <v>0</v>
      </c>
      <c r="R168" s="189">
        <v>0</v>
      </c>
      <c r="S168" s="189">
        <f t="shared" si="25"/>
        <v>1557950.91</v>
      </c>
      <c r="T168" s="189">
        <f t="shared" si="19"/>
        <v>2163.3099268228329</v>
      </c>
      <c r="U168" s="189">
        <f>Y168</f>
        <v>2400.0108307760665</v>
      </c>
      <c r="V168" s="170">
        <f t="shared" si="23"/>
        <v>236.70090395323359</v>
      </c>
      <c r="W168" s="170"/>
      <c r="X168" s="170"/>
      <c r="Y168" s="173">
        <f t="shared" si="24"/>
        <v>2400.0108307760665</v>
      </c>
      <c r="AA168" s="173">
        <f t="shared" si="20"/>
        <v>331</v>
      </c>
      <c r="AC168" s="173" t="s">
        <v>687</v>
      </c>
      <c r="AD168" s="173">
        <v>900</v>
      </c>
      <c r="AH168" s="173" t="e">
        <f t="shared" si="21"/>
        <v>#N/A</v>
      </c>
      <c r="AS168" s="173" t="e">
        <f t="shared" si="22"/>
        <v>#N/A</v>
      </c>
    </row>
    <row r="169" spans="1:45" s="173" customFormat="1" ht="36" customHeight="1" x14ac:dyDescent="0.9">
      <c r="A169" s="173">
        <v>1</v>
      </c>
      <c r="B169" s="91">
        <f>SUBTOTAL(103,$A$16:A169)</f>
        <v>152</v>
      </c>
      <c r="C169" s="90" t="s">
        <v>1181</v>
      </c>
      <c r="D169" s="185">
        <v>1989</v>
      </c>
      <c r="E169" s="185"/>
      <c r="F169" s="191" t="s">
        <v>273</v>
      </c>
      <c r="G169" s="185">
        <v>9</v>
      </c>
      <c r="H169" s="185">
        <v>2</v>
      </c>
      <c r="I169" s="189">
        <v>4429.1000000000004</v>
      </c>
      <c r="J169" s="189">
        <v>3931.9</v>
      </c>
      <c r="K169" s="189">
        <v>3418.9</v>
      </c>
      <c r="L169" s="187">
        <v>175</v>
      </c>
      <c r="M169" s="185" t="s">
        <v>271</v>
      </c>
      <c r="N169" s="185" t="s">
        <v>275</v>
      </c>
      <c r="O169" s="188" t="s">
        <v>333</v>
      </c>
      <c r="P169" s="189">
        <v>2712861.94</v>
      </c>
      <c r="Q169" s="189">
        <v>0</v>
      </c>
      <c r="R169" s="189">
        <v>0</v>
      </c>
      <c r="S169" s="189">
        <f t="shared" si="25"/>
        <v>2712861.94</v>
      </c>
      <c r="T169" s="189">
        <f t="shared" si="19"/>
        <v>612.50862251924764</v>
      </c>
      <c r="U169" s="189">
        <f>AR169</f>
        <v>996.77722336366298</v>
      </c>
      <c r="V169" s="170">
        <f t="shared" si="23"/>
        <v>384.26860084441535</v>
      </c>
      <c r="W169" s="170"/>
      <c r="X169" s="170"/>
      <c r="Y169" s="173" t="e">
        <f t="shared" si="24"/>
        <v>#N/A</v>
      </c>
      <c r="AA169" s="173" t="e">
        <f t="shared" si="20"/>
        <v>#N/A</v>
      </c>
      <c r="AC169" s="173" t="s">
        <v>694</v>
      </c>
      <c r="AD169" s="173">
        <v>520.4</v>
      </c>
      <c r="AH169" s="173" t="e">
        <f t="shared" si="21"/>
        <v>#N/A</v>
      </c>
      <c r="AR169" s="173">
        <f>AS169*2207413/I169</f>
        <v>996.77722336366298</v>
      </c>
      <c r="AS169" s="173">
        <f t="shared" si="22"/>
        <v>2</v>
      </c>
    </row>
    <row r="170" spans="1:45" s="173" customFormat="1" ht="36" customHeight="1" x14ac:dyDescent="0.9">
      <c r="A170" s="173">
        <v>1</v>
      </c>
      <c r="B170" s="91">
        <f>SUBTOTAL(103,$A$16:A170)</f>
        <v>153</v>
      </c>
      <c r="C170" s="90" t="s">
        <v>1182</v>
      </c>
      <c r="D170" s="185">
        <v>1964</v>
      </c>
      <c r="E170" s="185"/>
      <c r="F170" s="191" t="s">
        <v>273</v>
      </c>
      <c r="G170" s="185">
        <v>2</v>
      </c>
      <c r="H170" s="185">
        <v>2</v>
      </c>
      <c r="I170" s="189">
        <v>634.5</v>
      </c>
      <c r="J170" s="189">
        <v>384.9</v>
      </c>
      <c r="K170" s="189">
        <v>253.53999999999996</v>
      </c>
      <c r="L170" s="187">
        <v>27</v>
      </c>
      <c r="M170" s="185" t="s">
        <v>271</v>
      </c>
      <c r="N170" s="185" t="s">
        <v>275</v>
      </c>
      <c r="O170" s="188" t="s">
        <v>334</v>
      </c>
      <c r="P170" s="189">
        <v>213615.18</v>
      </c>
      <c r="Q170" s="189">
        <v>0</v>
      </c>
      <c r="R170" s="189">
        <v>0</v>
      </c>
      <c r="S170" s="189">
        <f t="shared" si="25"/>
        <v>213615.18</v>
      </c>
      <c r="T170" s="189">
        <f t="shared" si="19"/>
        <v>336.66695035460992</v>
      </c>
      <c r="U170" s="189">
        <f>T170</f>
        <v>336.66695035460992</v>
      </c>
      <c r="V170" s="170">
        <f t="shared" si="23"/>
        <v>0</v>
      </c>
      <c r="W170" s="170"/>
      <c r="X170" s="170"/>
      <c r="Y170" s="173" t="e">
        <f t="shared" si="24"/>
        <v>#N/A</v>
      </c>
      <c r="AA170" s="173" t="e">
        <f t="shared" si="20"/>
        <v>#N/A</v>
      </c>
      <c r="AC170" s="173" t="s">
        <v>682</v>
      </c>
      <c r="AD170" s="173">
        <v>758.8</v>
      </c>
      <c r="AH170" s="173" t="e">
        <f t="shared" si="21"/>
        <v>#N/A</v>
      </c>
      <c r="AS170" s="173" t="e">
        <f t="shared" si="22"/>
        <v>#N/A</v>
      </c>
    </row>
    <row r="171" spans="1:45" s="173" customFormat="1" ht="36" customHeight="1" x14ac:dyDescent="0.9">
      <c r="A171" s="173">
        <v>1</v>
      </c>
      <c r="B171" s="91">
        <f>SUBTOTAL(103,$A$16:A171)</f>
        <v>154</v>
      </c>
      <c r="C171" s="90" t="s">
        <v>1183</v>
      </c>
      <c r="D171" s="185">
        <v>1971</v>
      </c>
      <c r="E171" s="185"/>
      <c r="F171" s="191" t="s">
        <v>273</v>
      </c>
      <c r="G171" s="185">
        <v>5</v>
      </c>
      <c r="H171" s="185">
        <v>6</v>
      </c>
      <c r="I171" s="189">
        <v>5698.2</v>
      </c>
      <c r="J171" s="189">
        <v>4475.3999999999996</v>
      </c>
      <c r="K171" s="189">
        <v>4355.8399999999992</v>
      </c>
      <c r="L171" s="187">
        <v>172</v>
      </c>
      <c r="M171" s="185" t="s">
        <v>271</v>
      </c>
      <c r="N171" s="185" t="s">
        <v>275</v>
      </c>
      <c r="O171" s="188" t="s">
        <v>336</v>
      </c>
      <c r="P171" s="189">
        <v>2878164.01</v>
      </c>
      <c r="Q171" s="189">
        <v>0</v>
      </c>
      <c r="R171" s="189">
        <v>0</v>
      </c>
      <c r="S171" s="189">
        <f t="shared" si="25"/>
        <v>2878164.01</v>
      </c>
      <c r="T171" s="189">
        <f t="shared" si="19"/>
        <v>505.1005598259099</v>
      </c>
      <c r="U171" s="189">
        <v>1418.4320627566599</v>
      </c>
      <c r="V171" s="170">
        <f t="shared" si="23"/>
        <v>913.33150293075005</v>
      </c>
      <c r="W171" s="170"/>
      <c r="X171" s="170"/>
      <c r="Y171" s="173" t="e">
        <f t="shared" si="24"/>
        <v>#N/A</v>
      </c>
      <c r="AA171" s="173" t="e">
        <f t="shared" si="20"/>
        <v>#N/A</v>
      </c>
      <c r="AC171" s="173" t="s">
        <v>1227</v>
      </c>
      <c r="AD171" s="173">
        <v>407.8</v>
      </c>
      <c r="AH171" s="173" t="e">
        <f t="shared" si="21"/>
        <v>#N/A</v>
      </c>
      <c r="AS171" s="173" t="e">
        <f t="shared" si="22"/>
        <v>#N/A</v>
      </c>
    </row>
    <row r="172" spans="1:45" s="173" customFormat="1" ht="36" customHeight="1" x14ac:dyDescent="0.9">
      <c r="A172" s="173">
        <v>1</v>
      </c>
      <c r="B172" s="91">
        <f>SUBTOTAL(103,$A$16:A172)</f>
        <v>155</v>
      </c>
      <c r="C172" s="90" t="s">
        <v>1184</v>
      </c>
      <c r="D172" s="185">
        <v>1991</v>
      </c>
      <c r="E172" s="185"/>
      <c r="F172" s="191" t="s">
        <v>293</v>
      </c>
      <c r="G172" s="185">
        <v>9</v>
      </c>
      <c r="H172" s="185">
        <v>2</v>
      </c>
      <c r="I172" s="189">
        <v>4200.6000000000004</v>
      </c>
      <c r="J172" s="189">
        <v>3780.6</v>
      </c>
      <c r="K172" s="189">
        <v>3265.6</v>
      </c>
      <c r="L172" s="187">
        <v>172</v>
      </c>
      <c r="M172" s="185" t="s">
        <v>271</v>
      </c>
      <c r="N172" s="185" t="s">
        <v>275</v>
      </c>
      <c r="O172" s="188" t="s">
        <v>329</v>
      </c>
      <c r="P172" s="189">
        <v>2712861.94</v>
      </c>
      <c r="Q172" s="189">
        <v>0</v>
      </c>
      <c r="R172" s="189">
        <v>0</v>
      </c>
      <c r="S172" s="189">
        <f t="shared" si="25"/>
        <v>2712861.94</v>
      </c>
      <c r="T172" s="189">
        <f t="shared" si="19"/>
        <v>645.82724848831117</v>
      </c>
      <c r="U172" s="189">
        <f>AR172</f>
        <v>1050.9989049183448</v>
      </c>
      <c r="V172" s="170">
        <f t="shared" si="23"/>
        <v>405.17165643003364</v>
      </c>
      <c r="W172" s="170"/>
      <c r="X172" s="170"/>
      <c r="Y172" s="173" t="e">
        <f t="shared" si="24"/>
        <v>#N/A</v>
      </c>
      <c r="AA172" s="173" t="e">
        <f t="shared" si="20"/>
        <v>#N/A</v>
      </c>
      <c r="AC172" s="173" t="s">
        <v>1228</v>
      </c>
      <c r="AD172" s="173">
        <v>953.5</v>
      </c>
      <c r="AH172" s="173" t="e">
        <f t="shared" si="21"/>
        <v>#N/A</v>
      </c>
      <c r="AR172" s="173">
        <f>AS172*2207413/I172</f>
        <v>1050.9989049183448</v>
      </c>
      <c r="AS172" s="173">
        <f t="shared" si="22"/>
        <v>2</v>
      </c>
    </row>
    <row r="173" spans="1:45" s="173" customFormat="1" ht="36" customHeight="1" x14ac:dyDescent="0.9">
      <c r="A173" s="173">
        <v>1</v>
      </c>
      <c r="B173" s="91">
        <f>SUBTOTAL(103,$A$16:A173)</f>
        <v>156</v>
      </c>
      <c r="C173" s="90" t="s">
        <v>1185</v>
      </c>
      <c r="D173" s="185">
        <v>1963</v>
      </c>
      <c r="E173" s="185"/>
      <c r="F173" s="191" t="s">
        <v>273</v>
      </c>
      <c r="G173" s="185">
        <v>4</v>
      </c>
      <c r="H173" s="185">
        <v>4</v>
      </c>
      <c r="I173" s="189">
        <v>2581.1</v>
      </c>
      <c r="J173" s="189">
        <v>2477.4</v>
      </c>
      <c r="K173" s="189">
        <v>2303.4</v>
      </c>
      <c r="L173" s="187">
        <v>110</v>
      </c>
      <c r="M173" s="185" t="s">
        <v>271</v>
      </c>
      <c r="N173" s="185" t="s">
        <v>275</v>
      </c>
      <c r="O173" s="188" t="s">
        <v>1016</v>
      </c>
      <c r="P173" s="189">
        <v>2771146.97</v>
      </c>
      <c r="Q173" s="189">
        <v>0</v>
      </c>
      <c r="R173" s="189">
        <v>0</v>
      </c>
      <c r="S173" s="189">
        <f t="shared" si="25"/>
        <v>2771146.97</v>
      </c>
      <c r="T173" s="189">
        <f t="shared" si="19"/>
        <v>1073.6302235480998</v>
      </c>
      <c r="U173" s="189">
        <v>2753.19</v>
      </c>
      <c r="V173" s="170">
        <f t="shared" si="23"/>
        <v>1679.5597764519002</v>
      </c>
      <c r="W173" s="170"/>
      <c r="X173" s="170"/>
      <c r="Y173" s="173" t="e">
        <f t="shared" si="24"/>
        <v>#N/A</v>
      </c>
      <c r="AA173" s="173" t="e">
        <f t="shared" si="20"/>
        <v>#N/A</v>
      </c>
      <c r="AC173" s="173" t="s">
        <v>1236</v>
      </c>
      <c r="AD173" s="173">
        <v>738.92</v>
      </c>
      <c r="AH173" s="173" t="e">
        <f t="shared" si="21"/>
        <v>#N/A</v>
      </c>
      <c r="AS173" s="173" t="e">
        <f t="shared" si="22"/>
        <v>#N/A</v>
      </c>
    </row>
    <row r="174" spans="1:45" s="173" customFormat="1" ht="36" customHeight="1" x14ac:dyDescent="0.9">
      <c r="A174" s="173">
        <v>1</v>
      </c>
      <c r="B174" s="91">
        <f>SUBTOTAL(103,$A$16:A174)</f>
        <v>157</v>
      </c>
      <c r="C174" s="90" t="s">
        <v>1186</v>
      </c>
      <c r="D174" s="185">
        <v>1959</v>
      </c>
      <c r="E174" s="185"/>
      <c r="F174" s="191" t="s">
        <v>273</v>
      </c>
      <c r="G174" s="185">
        <v>2</v>
      </c>
      <c r="H174" s="185">
        <v>2</v>
      </c>
      <c r="I174" s="189">
        <v>598.02</v>
      </c>
      <c r="J174" s="189">
        <v>552.82000000000005</v>
      </c>
      <c r="K174" s="189">
        <v>452.65</v>
      </c>
      <c r="L174" s="187">
        <v>31</v>
      </c>
      <c r="M174" s="185" t="s">
        <v>271</v>
      </c>
      <c r="N174" s="185" t="s">
        <v>275</v>
      </c>
      <c r="O174" s="188" t="s">
        <v>336</v>
      </c>
      <c r="P174" s="189">
        <v>2438759.5300000003</v>
      </c>
      <c r="Q174" s="189">
        <v>0</v>
      </c>
      <c r="R174" s="189">
        <v>0</v>
      </c>
      <c r="S174" s="189">
        <f t="shared" si="25"/>
        <v>2438759.5300000003</v>
      </c>
      <c r="T174" s="189">
        <f t="shared" si="19"/>
        <v>4078.0568041202641</v>
      </c>
      <c r="U174" s="189">
        <f>Y174</f>
        <v>4165.0757499749179</v>
      </c>
      <c r="V174" s="170">
        <f t="shared" si="23"/>
        <v>87.018945854653794</v>
      </c>
      <c r="W174" s="170"/>
      <c r="X174" s="170"/>
      <c r="Y174" s="173">
        <f t="shared" si="24"/>
        <v>4165.0757499749179</v>
      </c>
      <c r="AA174" s="173">
        <f t="shared" si="20"/>
        <v>477</v>
      </c>
      <c r="AC174" s="173" t="s">
        <v>1584</v>
      </c>
      <c r="AD174" s="173">
        <v>275.39999999999998</v>
      </c>
      <c r="AH174" s="173" t="e">
        <f t="shared" si="21"/>
        <v>#N/A</v>
      </c>
      <c r="AS174" s="173" t="e">
        <f t="shared" si="22"/>
        <v>#N/A</v>
      </c>
    </row>
    <row r="175" spans="1:45" s="173" customFormat="1" ht="36" customHeight="1" x14ac:dyDescent="0.9">
      <c r="A175" s="173">
        <v>1</v>
      </c>
      <c r="B175" s="91">
        <f>SUBTOTAL(103,$A$16:A175)</f>
        <v>158</v>
      </c>
      <c r="C175" s="90" t="s">
        <v>1187</v>
      </c>
      <c r="D175" s="185">
        <v>1959</v>
      </c>
      <c r="E175" s="185"/>
      <c r="F175" s="191" t="s">
        <v>273</v>
      </c>
      <c r="G175" s="185">
        <v>4</v>
      </c>
      <c r="H175" s="185">
        <v>2</v>
      </c>
      <c r="I175" s="189">
        <v>1378.3</v>
      </c>
      <c r="J175" s="189">
        <v>1280.9000000000001</v>
      </c>
      <c r="K175" s="189">
        <v>1171.7</v>
      </c>
      <c r="L175" s="187">
        <v>83</v>
      </c>
      <c r="M175" s="185" t="s">
        <v>271</v>
      </c>
      <c r="N175" s="185" t="s">
        <v>275</v>
      </c>
      <c r="O175" s="188" t="s">
        <v>336</v>
      </c>
      <c r="P175" s="189">
        <v>464475.87</v>
      </c>
      <c r="Q175" s="189">
        <v>0</v>
      </c>
      <c r="R175" s="189">
        <v>0</v>
      </c>
      <c r="S175" s="189">
        <f t="shared" si="25"/>
        <v>464475.87</v>
      </c>
      <c r="T175" s="189">
        <f t="shared" si="19"/>
        <v>336.99185228179641</v>
      </c>
      <c r="U175" s="189">
        <v>673.78</v>
      </c>
      <c r="V175" s="170">
        <f t="shared" si="23"/>
        <v>336.78814771820356</v>
      </c>
      <c r="W175" s="170"/>
      <c r="X175" s="170"/>
      <c r="Y175" s="173" t="e">
        <f t="shared" si="24"/>
        <v>#N/A</v>
      </c>
      <c r="AA175" s="173" t="e">
        <f t="shared" si="20"/>
        <v>#N/A</v>
      </c>
      <c r="AC175" s="173" t="s">
        <v>1594</v>
      </c>
      <c r="AD175" s="173">
        <v>344.5</v>
      </c>
      <c r="AH175" s="173" t="e">
        <f t="shared" si="21"/>
        <v>#N/A</v>
      </c>
      <c r="AS175" s="173" t="e">
        <f t="shared" si="22"/>
        <v>#N/A</v>
      </c>
    </row>
    <row r="176" spans="1:45" s="173" customFormat="1" ht="36" customHeight="1" x14ac:dyDescent="0.9">
      <c r="A176" s="173">
        <v>1</v>
      </c>
      <c r="B176" s="91">
        <f>SUBTOTAL(103,$A$16:A176)</f>
        <v>159</v>
      </c>
      <c r="C176" s="90" t="s">
        <v>1188</v>
      </c>
      <c r="D176" s="185">
        <v>1963</v>
      </c>
      <c r="E176" s="185"/>
      <c r="F176" s="191" t="s">
        <v>273</v>
      </c>
      <c r="G176" s="185">
        <v>2</v>
      </c>
      <c r="H176" s="185">
        <v>2</v>
      </c>
      <c r="I176" s="189">
        <v>672.43</v>
      </c>
      <c r="J176" s="189">
        <v>623.04</v>
      </c>
      <c r="K176" s="189">
        <v>623.04</v>
      </c>
      <c r="L176" s="187">
        <v>42</v>
      </c>
      <c r="M176" s="185" t="s">
        <v>271</v>
      </c>
      <c r="N176" s="185" t="s">
        <v>275</v>
      </c>
      <c r="O176" s="188" t="s">
        <v>334</v>
      </c>
      <c r="P176" s="189">
        <v>198184.86</v>
      </c>
      <c r="Q176" s="189">
        <v>0</v>
      </c>
      <c r="R176" s="189">
        <v>0</v>
      </c>
      <c r="S176" s="189">
        <f t="shared" si="25"/>
        <v>198184.86</v>
      </c>
      <c r="T176" s="189">
        <f t="shared" si="19"/>
        <v>294.72935472837321</v>
      </c>
      <c r="U176" s="189">
        <f>T176</f>
        <v>294.72935472837321</v>
      </c>
      <c r="V176" s="170">
        <f t="shared" si="23"/>
        <v>0</v>
      </c>
      <c r="W176" s="170"/>
      <c r="X176" s="170"/>
      <c r="Y176" s="173" t="e">
        <f t="shared" si="24"/>
        <v>#N/A</v>
      </c>
      <c r="AA176" s="173" t="e">
        <f t="shared" si="20"/>
        <v>#N/A</v>
      </c>
      <c r="AC176" s="173" t="s">
        <v>236</v>
      </c>
      <c r="AD176" s="173">
        <v>318.7</v>
      </c>
      <c r="AH176" s="173" t="e">
        <f t="shared" si="21"/>
        <v>#N/A</v>
      </c>
      <c r="AS176" s="173" t="e">
        <f t="shared" si="22"/>
        <v>#N/A</v>
      </c>
    </row>
    <row r="177" spans="1:45" s="173" customFormat="1" ht="36" customHeight="1" x14ac:dyDescent="0.9">
      <c r="A177" s="173">
        <v>1</v>
      </c>
      <c r="B177" s="91">
        <f>SUBTOTAL(103,$A$16:A177)</f>
        <v>160</v>
      </c>
      <c r="C177" s="90" t="s">
        <v>1189</v>
      </c>
      <c r="D177" s="185">
        <v>1989</v>
      </c>
      <c r="E177" s="185"/>
      <c r="F177" s="191" t="s">
        <v>273</v>
      </c>
      <c r="G177" s="185">
        <v>9</v>
      </c>
      <c r="H177" s="185">
        <v>1</v>
      </c>
      <c r="I177" s="189">
        <v>4090.1</v>
      </c>
      <c r="J177" s="189">
        <v>3277.11</v>
      </c>
      <c r="K177" s="189">
        <v>3277.11</v>
      </c>
      <c r="L177" s="187">
        <v>159</v>
      </c>
      <c r="M177" s="185" t="s">
        <v>271</v>
      </c>
      <c r="N177" s="185" t="s">
        <v>275</v>
      </c>
      <c r="O177" s="188" t="s">
        <v>1368</v>
      </c>
      <c r="P177" s="189">
        <v>1640571.49</v>
      </c>
      <c r="Q177" s="189">
        <v>0</v>
      </c>
      <c r="R177" s="189">
        <v>0</v>
      </c>
      <c r="S177" s="189">
        <f t="shared" si="25"/>
        <v>1640571.49</v>
      </c>
      <c r="T177" s="189">
        <f t="shared" si="19"/>
        <v>401.10791667685385</v>
      </c>
      <c r="U177" s="189">
        <f>AR177</f>
        <v>539.69658443558842</v>
      </c>
      <c r="V177" s="170">
        <f t="shared" si="23"/>
        <v>138.58866775873457</v>
      </c>
      <c r="W177" s="170"/>
      <c r="X177" s="170"/>
      <c r="Y177" s="173" t="e">
        <f t="shared" si="24"/>
        <v>#N/A</v>
      </c>
      <c r="AA177" s="173" t="e">
        <f t="shared" si="20"/>
        <v>#N/A</v>
      </c>
      <c r="AC177" s="173" t="s">
        <v>241</v>
      </c>
      <c r="AD177" s="173">
        <v>464.3</v>
      </c>
      <c r="AH177" s="173" t="e">
        <f t="shared" si="21"/>
        <v>#N/A</v>
      </c>
      <c r="AR177" s="173">
        <f>AS177*2207413/I177</f>
        <v>539.69658443558842</v>
      </c>
      <c r="AS177" s="173">
        <f t="shared" si="22"/>
        <v>1</v>
      </c>
    </row>
    <row r="178" spans="1:45" s="173" customFormat="1" ht="36" customHeight="1" x14ac:dyDescent="0.9">
      <c r="A178" s="173">
        <v>1</v>
      </c>
      <c r="B178" s="91">
        <f>SUBTOTAL(103,$A$16:A178)</f>
        <v>161</v>
      </c>
      <c r="C178" s="90" t="s">
        <v>1190</v>
      </c>
      <c r="D178" s="185">
        <v>1992</v>
      </c>
      <c r="E178" s="185"/>
      <c r="F178" s="191" t="s">
        <v>273</v>
      </c>
      <c r="G178" s="185">
        <v>9</v>
      </c>
      <c r="H178" s="185">
        <v>1</v>
      </c>
      <c r="I178" s="189">
        <v>3107.8</v>
      </c>
      <c r="J178" s="189">
        <v>2755.2</v>
      </c>
      <c r="K178" s="189">
        <v>2755.2</v>
      </c>
      <c r="L178" s="187">
        <v>117</v>
      </c>
      <c r="M178" s="185" t="s">
        <v>271</v>
      </c>
      <c r="N178" s="185" t="s">
        <v>275</v>
      </c>
      <c r="O178" s="188" t="s">
        <v>1369</v>
      </c>
      <c r="P178" s="189">
        <v>1784450.96</v>
      </c>
      <c r="Q178" s="189">
        <v>0</v>
      </c>
      <c r="R178" s="189">
        <v>0</v>
      </c>
      <c r="S178" s="189">
        <f t="shared" si="25"/>
        <v>1784450.96</v>
      </c>
      <c r="T178" s="189">
        <f t="shared" si="19"/>
        <v>574.18461934487414</v>
      </c>
      <c r="U178" s="189">
        <f>AR178</f>
        <v>710.28154964926955</v>
      </c>
      <c r="V178" s="170">
        <f t="shared" si="23"/>
        <v>136.09693030439541</v>
      </c>
      <c r="W178" s="170"/>
      <c r="X178" s="170"/>
      <c r="Y178" s="173" t="e">
        <f t="shared" si="24"/>
        <v>#N/A</v>
      </c>
      <c r="AA178" s="173" t="e">
        <f t="shared" si="20"/>
        <v>#N/A</v>
      </c>
      <c r="AC178" s="173" t="s">
        <v>242</v>
      </c>
      <c r="AD178" s="173">
        <v>271</v>
      </c>
      <c r="AH178" s="173" t="e">
        <f t="shared" si="21"/>
        <v>#N/A</v>
      </c>
      <c r="AR178" s="173">
        <f>AS178*2207413/I178</f>
        <v>710.28154964926955</v>
      </c>
      <c r="AS178" s="173">
        <f t="shared" si="22"/>
        <v>1</v>
      </c>
    </row>
    <row r="179" spans="1:45" s="173" customFormat="1" ht="36" customHeight="1" x14ac:dyDescent="0.9">
      <c r="A179" s="173">
        <v>1</v>
      </c>
      <c r="B179" s="91">
        <f>SUBTOTAL(103,$A$16:A179)</f>
        <v>162</v>
      </c>
      <c r="C179" s="90" t="s">
        <v>1191</v>
      </c>
      <c r="D179" s="185">
        <v>1992</v>
      </c>
      <c r="E179" s="185"/>
      <c r="F179" s="191" t="s">
        <v>319</v>
      </c>
      <c r="G179" s="185">
        <v>9</v>
      </c>
      <c r="H179" s="185">
        <v>4</v>
      </c>
      <c r="I179" s="189">
        <v>8440.4</v>
      </c>
      <c r="J179" s="189">
        <v>7673.5</v>
      </c>
      <c r="K179" s="189">
        <v>7237.9</v>
      </c>
      <c r="L179" s="187">
        <v>308</v>
      </c>
      <c r="M179" s="185" t="s">
        <v>271</v>
      </c>
      <c r="N179" s="185" t="s">
        <v>275</v>
      </c>
      <c r="O179" s="188" t="s">
        <v>1370</v>
      </c>
      <c r="P179" s="189">
        <v>6364982.3099999996</v>
      </c>
      <c r="Q179" s="189">
        <v>0</v>
      </c>
      <c r="R179" s="189">
        <v>0</v>
      </c>
      <c r="S179" s="189">
        <f t="shared" si="25"/>
        <v>6364982.3099999996</v>
      </c>
      <c r="T179" s="189">
        <f t="shared" si="19"/>
        <v>754.10908369271601</v>
      </c>
      <c r="U179" s="189">
        <f>AR179</f>
        <v>1046.1177195393584</v>
      </c>
      <c r="V179" s="170">
        <f t="shared" si="23"/>
        <v>292.00863584664239</v>
      </c>
      <c r="W179" s="170"/>
      <c r="X179" s="170"/>
      <c r="Y179" s="173" t="e">
        <f t="shared" si="24"/>
        <v>#N/A</v>
      </c>
      <c r="AA179" s="173" t="e">
        <f t="shared" si="20"/>
        <v>#N/A</v>
      </c>
      <c r="AC179" s="173" t="s">
        <v>237</v>
      </c>
      <c r="AD179" s="173">
        <v>209.18</v>
      </c>
      <c r="AH179" s="173" t="e">
        <f t="shared" si="21"/>
        <v>#N/A</v>
      </c>
      <c r="AR179" s="173">
        <f>AS179*2207413/I179</f>
        <v>1046.1177195393584</v>
      </c>
      <c r="AS179" s="173">
        <f t="shared" si="22"/>
        <v>4</v>
      </c>
    </row>
    <row r="180" spans="1:45" s="173" customFormat="1" ht="36" customHeight="1" x14ac:dyDescent="0.9">
      <c r="A180" s="173">
        <v>1</v>
      </c>
      <c r="B180" s="91">
        <f>SUBTOTAL(103,$A$16:A180)</f>
        <v>163</v>
      </c>
      <c r="C180" s="90" t="s">
        <v>1307</v>
      </c>
      <c r="D180" s="185">
        <v>1968</v>
      </c>
      <c r="E180" s="185"/>
      <c r="F180" s="191" t="s">
        <v>273</v>
      </c>
      <c r="G180" s="185">
        <v>5</v>
      </c>
      <c r="H180" s="185">
        <v>4</v>
      </c>
      <c r="I180" s="189">
        <v>3571.09</v>
      </c>
      <c r="J180" s="189">
        <v>3241.39</v>
      </c>
      <c r="K180" s="189">
        <v>3219.99</v>
      </c>
      <c r="L180" s="187">
        <v>154</v>
      </c>
      <c r="M180" s="185" t="s">
        <v>271</v>
      </c>
      <c r="N180" s="185" t="s">
        <v>275</v>
      </c>
      <c r="O180" s="188" t="s">
        <v>335</v>
      </c>
      <c r="P180" s="189">
        <v>2620013.62</v>
      </c>
      <c r="Q180" s="189">
        <v>0</v>
      </c>
      <c r="R180" s="189">
        <v>0</v>
      </c>
      <c r="S180" s="189">
        <f t="shared" si="25"/>
        <v>2620013.62</v>
      </c>
      <c r="T180" s="189">
        <f t="shared" si="19"/>
        <v>733.6733658350812</v>
      </c>
      <c r="U180" s="189">
        <v>2753.19</v>
      </c>
      <c r="V180" s="170">
        <f t="shared" si="23"/>
        <v>2019.5166341649187</v>
      </c>
      <c r="W180" s="170"/>
      <c r="X180" s="170"/>
      <c r="Y180" s="173" t="e">
        <f t="shared" si="24"/>
        <v>#N/A</v>
      </c>
      <c r="AA180" s="173" t="e">
        <f t="shared" si="20"/>
        <v>#N/A</v>
      </c>
      <c r="AC180" s="173" t="s">
        <v>244</v>
      </c>
      <c r="AD180" s="173">
        <v>539.4</v>
      </c>
      <c r="AH180" s="173" t="e">
        <f t="shared" si="21"/>
        <v>#N/A</v>
      </c>
      <c r="AS180" s="173" t="e">
        <f t="shared" si="22"/>
        <v>#N/A</v>
      </c>
    </row>
    <row r="181" spans="1:45" s="173" customFormat="1" ht="36" customHeight="1" x14ac:dyDescent="0.9">
      <c r="A181" s="173">
        <v>1</v>
      </c>
      <c r="B181" s="91">
        <f>SUBTOTAL(103,$A$16:A181)</f>
        <v>164</v>
      </c>
      <c r="C181" s="90" t="s">
        <v>1320</v>
      </c>
      <c r="D181" s="185">
        <v>1958</v>
      </c>
      <c r="E181" s="185"/>
      <c r="F181" s="191" t="s">
        <v>273</v>
      </c>
      <c r="G181" s="185">
        <v>4</v>
      </c>
      <c r="H181" s="185">
        <v>4</v>
      </c>
      <c r="I181" s="189">
        <v>5856.4</v>
      </c>
      <c r="J181" s="189">
        <v>3235.1</v>
      </c>
      <c r="K181" s="189">
        <v>3073.4</v>
      </c>
      <c r="L181" s="187">
        <v>86</v>
      </c>
      <c r="M181" s="185" t="s">
        <v>271</v>
      </c>
      <c r="N181" s="185" t="s">
        <v>275</v>
      </c>
      <c r="O181" s="188" t="s">
        <v>1382</v>
      </c>
      <c r="P181" s="189">
        <v>13429838.609999999</v>
      </c>
      <c r="Q181" s="189">
        <v>0</v>
      </c>
      <c r="R181" s="189">
        <v>0</v>
      </c>
      <c r="S181" s="189">
        <f t="shared" si="25"/>
        <v>13429838.609999999</v>
      </c>
      <c r="T181" s="189">
        <f t="shared" si="19"/>
        <v>2293.1901185028346</v>
      </c>
      <c r="U181" s="189">
        <f>AG181</f>
        <v>4830.3575654539272</v>
      </c>
      <c r="V181" s="170">
        <f t="shared" si="23"/>
        <v>2537.1674469510926</v>
      </c>
      <c r="W181" s="170"/>
      <c r="X181" s="170"/>
      <c r="Y181" s="173" t="e">
        <f t="shared" si="24"/>
        <v>#N/A</v>
      </c>
      <c r="AA181" s="173" t="e">
        <f t="shared" si="20"/>
        <v>#N/A</v>
      </c>
      <c r="AC181" s="173" t="s">
        <v>1244</v>
      </c>
      <c r="AD181" s="173">
        <v>374.3</v>
      </c>
      <c r="AG181" s="173">
        <f>AH181*6191.24/J181</f>
        <v>4830.3575654539272</v>
      </c>
      <c r="AH181" s="173">
        <f t="shared" si="21"/>
        <v>2524</v>
      </c>
      <c r="AS181" s="173" t="e">
        <f t="shared" si="22"/>
        <v>#N/A</v>
      </c>
    </row>
    <row r="182" spans="1:45" s="173" customFormat="1" ht="36" customHeight="1" x14ac:dyDescent="0.9">
      <c r="A182" s="173">
        <v>1</v>
      </c>
      <c r="B182" s="91">
        <f>SUBTOTAL(103,$A$16:A182)</f>
        <v>165</v>
      </c>
      <c r="C182" s="90" t="s">
        <v>1321</v>
      </c>
      <c r="D182" s="185">
        <v>1968</v>
      </c>
      <c r="E182" s="185"/>
      <c r="F182" s="191" t="s">
        <v>273</v>
      </c>
      <c r="G182" s="185">
        <v>2</v>
      </c>
      <c r="H182" s="185">
        <v>2</v>
      </c>
      <c r="I182" s="189">
        <v>610.4</v>
      </c>
      <c r="J182" s="189">
        <v>567</v>
      </c>
      <c r="K182" s="189">
        <v>458.2</v>
      </c>
      <c r="L182" s="187">
        <v>29</v>
      </c>
      <c r="M182" s="185" t="s">
        <v>271</v>
      </c>
      <c r="N182" s="185" t="s">
        <v>275</v>
      </c>
      <c r="O182" s="188" t="s">
        <v>1382</v>
      </c>
      <c r="P182" s="189">
        <v>3218030.63</v>
      </c>
      <c r="Q182" s="189">
        <v>0</v>
      </c>
      <c r="R182" s="189">
        <v>0</v>
      </c>
      <c r="S182" s="189">
        <f t="shared" si="25"/>
        <v>3218030.63</v>
      </c>
      <c r="T182" s="189">
        <f t="shared" si="19"/>
        <v>5272.002998034076</v>
      </c>
      <c r="U182" s="189">
        <f>T182</f>
        <v>5272.002998034076</v>
      </c>
      <c r="V182" s="170">
        <f t="shared" si="23"/>
        <v>0</v>
      </c>
      <c r="W182" s="170"/>
      <c r="X182" s="170"/>
      <c r="Y182" s="173">
        <f t="shared" si="24"/>
        <v>5047.2837483617304</v>
      </c>
      <c r="AA182" s="173">
        <f t="shared" si="20"/>
        <v>590</v>
      </c>
      <c r="AC182" s="173" t="s">
        <v>1577</v>
      </c>
      <c r="AD182" s="173">
        <v>329.1</v>
      </c>
      <c r="AH182" s="173" t="e">
        <f t="shared" si="21"/>
        <v>#N/A</v>
      </c>
      <c r="AS182" s="173" t="e">
        <f t="shared" si="22"/>
        <v>#N/A</v>
      </c>
    </row>
    <row r="183" spans="1:45" s="173" customFormat="1" ht="36" customHeight="1" x14ac:dyDescent="0.9">
      <c r="A183" s="173">
        <v>1</v>
      </c>
      <c r="B183" s="91">
        <f>SUBTOTAL(103,$A$16:A183)</f>
        <v>166</v>
      </c>
      <c r="C183" s="90" t="s">
        <v>1322</v>
      </c>
      <c r="D183" s="185">
        <v>1958</v>
      </c>
      <c r="E183" s="185"/>
      <c r="F183" s="191" t="s">
        <v>273</v>
      </c>
      <c r="G183" s="185">
        <v>2</v>
      </c>
      <c r="H183" s="185">
        <v>2</v>
      </c>
      <c r="I183" s="189">
        <v>822.2</v>
      </c>
      <c r="J183" s="189">
        <v>822.2</v>
      </c>
      <c r="K183" s="189">
        <v>771.5</v>
      </c>
      <c r="L183" s="187">
        <v>22</v>
      </c>
      <c r="M183" s="185" t="s">
        <v>271</v>
      </c>
      <c r="N183" s="185" t="s">
        <v>275</v>
      </c>
      <c r="O183" s="188" t="s">
        <v>1382</v>
      </c>
      <c r="P183" s="189">
        <v>3619449.67</v>
      </c>
      <c r="Q183" s="189">
        <v>0</v>
      </c>
      <c r="R183" s="189">
        <v>0</v>
      </c>
      <c r="S183" s="189">
        <f t="shared" si="25"/>
        <v>3619449.67</v>
      </c>
      <c r="T183" s="189">
        <f t="shared" si="19"/>
        <v>4402.1523595232302</v>
      </c>
      <c r="U183" s="189">
        <f>T183</f>
        <v>4402.1523595232302</v>
      </c>
      <c r="V183" s="170">
        <f t="shared" si="23"/>
        <v>0</v>
      </c>
      <c r="W183" s="170"/>
      <c r="X183" s="170"/>
      <c r="Y183" s="173">
        <f t="shared" si="24"/>
        <v>4223.4213086840182</v>
      </c>
      <c r="AA183" s="173">
        <f t="shared" si="20"/>
        <v>665</v>
      </c>
      <c r="AC183" s="173" t="s">
        <v>1578</v>
      </c>
      <c r="AD183" s="173">
        <v>611</v>
      </c>
      <c r="AH183" s="173" t="e">
        <f t="shared" si="21"/>
        <v>#N/A</v>
      </c>
      <c r="AS183" s="173" t="e">
        <f t="shared" si="22"/>
        <v>#N/A</v>
      </c>
    </row>
    <row r="184" spans="1:45" s="173" customFormat="1" ht="36" customHeight="1" x14ac:dyDescent="0.9">
      <c r="A184" s="173">
        <v>1</v>
      </c>
      <c r="B184" s="91">
        <f>SUBTOTAL(103,$A$16:A184)</f>
        <v>167</v>
      </c>
      <c r="C184" s="90" t="s">
        <v>1323</v>
      </c>
      <c r="D184" s="185">
        <v>1959</v>
      </c>
      <c r="E184" s="185"/>
      <c r="F184" s="191" t="s">
        <v>273</v>
      </c>
      <c r="G184" s="185">
        <v>2</v>
      </c>
      <c r="H184" s="185">
        <v>1</v>
      </c>
      <c r="I184" s="189">
        <v>310.3</v>
      </c>
      <c r="J184" s="189">
        <v>310.3</v>
      </c>
      <c r="K184" s="189">
        <v>270.3</v>
      </c>
      <c r="L184" s="187">
        <v>10</v>
      </c>
      <c r="M184" s="185" t="s">
        <v>271</v>
      </c>
      <c r="N184" s="185" t="s">
        <v>275</v>
      </c>
      <c r="O184" s="188" t="s">
        <v>1382</v>
      </c>
      <c r="P184" s="189">
        <v>1298325.17</v>
      </c>
      <c r="Q184" s="189">
        <v>0</v>
      </c>
      <c r="R184" s="189">
        <v>0</v>
      </c>
      <c r="S184" s="189">
        <f t="shared" si="25"/>
        <v>1298325.17</v>
      </c>
      <c r="T184" s="189">
        <f t="shared" si="19"/>
        <v>4184.0965839510145</v>
      </c>
      <c r="U184" s="189">
        <f>T184</f>
        <v>4184.0965839510145</v>
      </c>
      <c r="V184" s="170">
        <f t="shared" si="23"/>
        <v>0</v>
      </c>
      <c r="W184" s="170"/>
      <c r="X184" s="170"/>
      <c r="Y184" s="173">
        <f t="shared" si="24"/>
        <v>4139.7447631324521</v>
      </c>
      <c r="AA184" s="173">
        <f t="shared" si="20"/>
        <v>246</v>
      </c>
      <c r="AC184" s="173" t="s">
        <v>1592</v>
      </c>
      <c r="AD184" s="173">
        <v>606</v>
      </c>
      <c r="AH184" s="173" t="e">
        <f t="shared" si="21"/>
        <v>#N/A</v>
      </c>
      <c r="AS184" s="173" t="e">
        <f t="shared" si="22"/>
        <v>#N/A</v>
      </c>
    </row>
    <row r="185" spans="1:45" s="173" customFormat="1" ht="36" customHeight="1" x14ac:dyDescent="0.9">
      <c r="A185" s="173">
        <v>1</v>
      </c>
      <c r="B185" s="91">
        <f>SUBTOTAL(103,$A$16:A185)</f>
        <v>168</v>
      </c>
      <c r="C185" s="90" t="s">
        <v>1324</v>
      </c>
      <c r="D185" s="185">
        <v>1959</v>
      </c>
      <c r="E185" s="185"/>
      <c r="F185" s="191" t="s">
        <v>273</v>
      </c>
      <c r="G185" s="185">
        <v>2</v>
      </c>
      <c r="H185" s="185">
        <v>1</v>
      </c>
      <c r="I185" s="189">
        <v>287</v>
      </c>
      <c r="J185" s="189">
        <v>287</v>
      </c>
      <c r="K185" s="189">
        <v>158.19999999999999</v>
      </c>
      <c r="L185" s="187">
        <v>18</v>
      </c>
      <c r="M185" s="185" t="s">
        <v>271</v>
      </c>
      <c r="N185" s="185" t="s">
        <v>272</v>
      </c>
      <c r="O185" s="188" t="s">
        <v>274</v>
      </c>
      <c r="P185" s="189">
        <v>1338948.23</v>
      </c>
      <c r="Q185" s="189">
        <v>0</v>
      </c>
      <c r="R185" s="189">
        <v>0</v>
      </c>
      <c r="S185" s="189">
        <f t="shared" si="25"/>
        <v>1338948.23</v>
      </c>
      <c r="T185" s="189">
        <f t="shared" si="19"/>
        <v>4665.3248432055752</v>
      </c>
      <c r="U185" s="189">
        <f>T185</f>
        <v>4665.3248432055752</v>
      </c>
      <c r="V185" s="170">
        <f t="shared" si="23"/>
        <v>0</v>
      </c>
      <c r="W185" s="170"/>
      <c r="X185" s="170"/>
      <c r="Y185" s="173">
        <f t="shared" si="24"/>
        <v>4603.1895470383279</v>
      </c>
      <c r="AA185" s="173">
        <f t="shared" si="20"/>
        <v>253</v>
      </c>
      <c r="AC185" s="173" t="s">
        <v>1593</v>
      </c>
      <c r="AD185" s="173">
        <v>592.07000000000005</v>
      </c>
      <c r="AH185" s="173" t="e">
        <f t="shared" si="21"/>
        <v>#N/A</v>
      </c>
      <c r="AS185" s="173" t="e">
        <f t="shared" si="22"/>
        <v>#N/A</v>
      </c>
    </row>
    <row r="186" spans="1:45" s="173" customFormat="1" ht="36" customHeight="1" x14ac:dyDescent="0.9">
      <c r="A186" s="173">
        <v>1</v>
      </c>
      <c r="B186" s="91">
        <f>SUBTOTAL(103,$A$16:A186)</f>
        <v>169</v>
      </c>
      <c r="C186" s="90" t="s">
        <v>1595</v>
      </c>
      <c r="D186" s="185">
        <v>1952</v>
      </c>
      <c r="E186" s="185"/>
      <c r="F186" s="191" t="s">
        <v>1371</v>
      </c>
      <c r="G186" s="185">
        <v>2</v>
      </c>
      <c r="H186" s="185">
        <v>2</v>
      </c>
      <c r="I186" s="189">
        <v>644.12</v>
      </c>
      <c r="J186" s="189">
        <v>596.87</v>
      </c>
      <c r="K186" s="189">
        <v>495.28</v>
      </c>
      <c r="L186" s="187">
        <v>30</v>
      </c>
      <c r="M186" s="185" t="s">
        <v>271</v>
      </c>
      <c r="N186" s="185" t="s">
        <v>275</v>
      </c>
      <c r="O186" s="188" t="s">
        <v>1621</v>
      </c>
      <c r="P186" s="189">
        <v>2343822.52</v>
      </c>
      <c r="Q186" s="189">
        <v>0</v>
      </c>
      <c r="R186" s="189">
        <v>0</v>
      </c>
      <c r="S186" s="189">
        <f>P186-R186-Q186</f>
        <v>2343822.52</v>
      </c>
      <c r="T186" s="189">
        <f t="shared" si="19"/>
        <v>3638.7979258523255</v>
      </c>
      <c r="U186" s="189">
        <f>Y186</f>
        <v>6420.6446003850215</v>
      </c>
      <c r="V186" s="170">
        <f t="shared" si="23"/>
        <v>2781.8466745326959</v>
      </c>
      <c r="W186" s="170"/>
      <c r="X186" s="170"/>
      <c r="Y186" s="173">
        <f t="shared" si="24"/>
        <v>6420.6446003850215</v>
      </c>
      <c r="AA186" s="173">
        <f t="shared" si="20"/>
        <v>792</v>
      </c>
      <c r="AC186" s="173" t="s">
        <v>1579</v>
      </c>
      <c r="AD186" s="173">
        <v>249</v>
      </c>
      <c r="AH186" s="173" t="e">
        <f t="shared" si="21"/>
        <v>#N/A</v>
      </c>
      <c r="AS186" s="173" t="e">
        <f t="shared" si="22"/>
        <v>#N/A</v>
      </c>
    </row>
    <row r="187" spans="1:45" s="173" customFormat="1" ht="36" customHeight="1" x14ac:dyDescent="0.9">
      <c r="A187" s="173">
        <v>1</v>
      </c>
      <c r="B187" s="91">
        <f>SUBTOTAL(103,$A$16:A187)</f>
        <v>170</v>
      </c>
      <c r="C187" s="90" t="s">
        <v>1607</v>
      </c>
      <c r="D187" s="185">
        <v>1940</v>
      </c>
      <c r="E187" s="185"/>
      <c r="F187" s="191" t="s">
        <v>319</v>
      </c>
      <c r="G187" s="185">
        <v>2</v>
      </c>
      <c r="H187" s="185">
        <v>2</v>
      </c>
      <c r="I187" s="189">
        <v>733.2</v>
      </c>
      <c r="J187" s="189">
        <v>662.54</v>
      </c>
      <c r="K187" s="189">
        <v>662.54</v>
      </c>
      <c r="L187" s="187">
        <v>22</v>
      </c>
      <c r="M187" s="185" t="s">
        <v>271</v>
      </c>
      <c r="N187" s="185" t="s">
        <v>275</v>
      </c>
      <c r="O187" s="188" t="s">
        <v>335</v>
      </c>
      <c r="P187" s="189">
        <v>2582227.59</v>
      </c>
      <c r="Q187" s="189">
        <v>0</v>
      </c>
      <c r="R187" s="189">
        <v>0</v>
      </c>
      <c r="S187" s="189">
        <f>P187-R187-Q187</f>
        <v>2582227.59</v>
      </c>
      <c r="T187" s="189">
        <f t="shared" si="19"/>
        <v>3521.8597790507361</v>
      </c>
      <c r="U187" s="189">
        <f>Y187</f>
        <v>3589.4533551554828</v>
      </c>
      <c r="V187" s="170">
        <f t="shared" si="23"/>
        <v>67.593576104746717</v>
      </c>
      <c r="W187" s="170"/>
      <c r="X187" s="170"/>
      <c r="Y187" s="173">
        <f t="shared" si="24"/>
        <v>3589.4533551554828</v>
      </c>
      <c r="AA187" s="173">
        <f t="shared" si="20"/>
        <v>504</v>
      </c>
      <c r="AC187" s="173" t="s">
        <v>1580</v>
      </c>
      <c r="AD187" s="173">
        <v>309</v>
      </c>
      <c r="AH187" s="173" t="e">
        <f t="shared" si="21"/>
        <v>#N/A</v>
      </c>
      <c r="AS187" s="173" t="e">
        <f t="shared" si="22"/>
        <v>#N/A</v>
      </c>
    </row>
    <row r="188" spans="1:45" s="173" customFormat="1" ht="36" customHeight="1" x14ac:dyDescent="0.9">
      <c r="A188" s="173">
        <v>1</v>
      </c>
      <c r="B188" s="91">
        <f>SUBTOTAL(103,$A$16:A188)</f>
        <v>171</v>
      </c>
      <c r="C188" s="90" t="s">
        <v>1608</v>
      </c>
      <c r="D188" s="185">
        <v>1968</v>
      </c>
      <c r="E188" s="185"/>
      <c r="F188" s="191" t="s">
        <v>273</v>
      </c>
      <c r="G188" s="185">
        <v>2</v>
      </c>
      <c r="H188" s="185">
        <v>2</v>
      </c>
      <c r="I188" s="186">
        <v>1033.42</v>
      </c>
      <c r="J188" s="189">
        <v>631.74</v>
      </c>
      <c r="K188" s="189">
        <v>592.34</v>
      </c>
      <c r="L188" s="187">
        <v>23</v>
      </c>
      <c r="M188" s="185" t="s">
        <v>271</v>
      </c>
      <c r="N188" s="185" t="s">
        <v>272</v>
      </c>
      <c r="O188" s="188" t="s">
        <v>274</v>
      </c>
      <c r="P188" s="189">
        <v>3239524.45</v>
      </c>
      <c r="Q188" s="189">
        <v>0</v>
      </c>
      <c r="R188" s="189">
        <v>0</v>
      </c>
      <c r="S188" s="189">
        <f>P188-R188-Q188</f>
        <v>3239524.45</v>
      </c>
      <c r="T188" s="189">
        <f t="shared" si="19"/>
        <v>3134.7607458729267</v>
      </c>
      <c r="U188" s="189">
        <f>Y188</f>
        <v>3183.3465580306165</v>
      </c>
      <c r="V188" s="170">
        <f t="shared" si="23"/>
        <v>48.585812157689816</v>
      </c>
      <c r="W188" s="170"/>
      <c r="X188" s="170"/>
      <c r="Y188" s="173">
        <f t="shared" si="24"/>
        <v>3183.3465580306165</v>
      </c>
      <c r="AA188" s="173">
        <f t="shared" si="20"/>
        <v>630</v>
      </c>
      <c r="AC188" s="173" t="s">
        <v>0</v>
      </c>
      <c r="AD188" s="173">
        <v>618.1</v>
      </c>
      <c r="AH188" s="173" t="e">
        <f t="shared" si="21"/>
        <v>#N/A</v>
      </c>
      <c r="AS188" s="173" t="e">
        <f t="shared" si="22"/>
        <v>#N/A</v>
      </c>
    </row>
    <row r="189" spans="1:45" s="173" customFormat="1" ht="36" customHeight="1" x14ac:dyDescent="0.9">
      <c r="A189" s="173">
        <v>1</v>
      </c>
      <c r="B189" s="91">
        <f>SUBTOTAL(103,$A$16:A189)</f>
        <v>172</v>
      </c>
      <c r="C189" s="90" t="s">
        <v>1638</v>
      </c>
      <c r="D189" s="185">
        <v>1986</v>
      </c>
      <c r="E189" s="185"/>
      <c r="F189" s="191" t="s">
        <v>326</v>
      </c>
      <c r="G189" s="185">
        <v>5</v>
      </c>
      <c r="H189" s="185">
        <v>4</v>
      </c>
      <c r="I189" s="189">
        <v>3118.5</v>
      </c>
      <c r="J189" s="189">
        <v>3068.7</v>
      </c>
      <c r="K189" s="189">
        <f>J189</f>
        <v>3068.7</v>
      </c>
      <c r="L189" s="187">
        <v>110</v>
      </c>
      <c r="M189" s="185" t="s">
        <v>271</v>
      </c>
      <c r="N189" s="185" t="s">
        <v>275</v>
      </c>
      <c r="O189" s="188" t="s">
        <v>1382</v>
      </c>
      <c r="P189" s="189">
        <v>9971798.8300000001</v>
      </c>
      <c r="Q189" s="189">
        <v>0</v>
      </c>
      <c r="R189" s="189">
        <v>0</v>
      </c>
      <c r="S189" s="189">
        <f>P189-Q189-R189</f>
        <v>9971798.8300000001</v>
      </c>
      <c r="T189" s="189">
        <f t="shared" si="19"/>
        <v>3197.626689113356</v>
      </c>
      <c r="U189" s="189">
        <f>T189</f>
        <v>3197.626689113356</v>
      </c>
      <c r="V189" s="170">
        <f t="shared" si="23"/>
        <v>0</v>
      </c>
      <c r="W189" s="170"/>
      <c r="X189" s="170"/>
      <c r="Y189" s="173">
        <f t="shared" si="24"/>
        <v>1383.1030303030302</v>
      </c>
      <c r="AA189" s="173">
        <f t="shared" si="20"/>
        <v>826</v>
      </c>
      <c r="AC189" s="173" t="s">
        <v>5</v>
      </c>
      <c r="AD189" s="173">
        <v>722.14</v>
      </c>
      <c r="AH189" s="173" t="e">
        <f t="shared" si="21"/>
        <v>#N/A</v>
      </c>
      <c r="AS189" s="173" t="e">
        <f t="shared" si="22"/>
        <v>#N/A</v>
      </c>
    </row>
    <row r="190" spans="1:45" s="173" customFormat="1" ht="36" customHeight="1" x14ac:dyDescent="0.9">
      <c r="B190" s="90" t="s">
        <v>785</v>
      </c>
      <c r="C190" s="192"/>
      <c r="D190" s="185" t="s">
        <v>915</v>
      </c>
      <c r="E190" s="185" t="s">
        <v>915</v>
      </c>
      <c r="F190" s="185" t="s">
        <v>915</v>
      </c>
      <c r="G190" s="185" t="s">
        <v>915</v>
      </c>
      <c r="H190" s="185" t="s">
        <v>915</v>
      </c>
      <c r="I190" s="186">
        <f>SUM(I191:I223)</f>
        <v>204209.57000000004</v>
      </c>
      <c r="J190" s="186">
        <f>SUM(J191:J223)</f>
        <v>167521.42000000004</v>
      </c>
      <c r="K190" s="186">
        <f>SUM(K191:K223)</f>
        <v>158088.66</v>
      </c>
      <c r="L190" s="187">
        <f>SUM(L191:L223)</f>
        <v>6689</v>
      </c>
      <c r="M190" s="185" t="s">
        <v>915</v>
      </c>
      <c r="N190" s="185" t="s">
        <v>915</v>
      </c>
      <c r="O190" s="188" t="s">
        <v>915</v>
      </c>
      <c r="P190" s="186">
        <v>172104925.05999997</v>
      </c>
      <c r="Q190" s="186">
        <f>SUM(Q191:Q223)</f>
        <v>0</v>
      </c>
      <c r="R190" s="186">
        <f>SUM(R191:R223)</f>
        <v>0</v>
      </c>
      <c r="S190" s="186">
        <f>SUM(S191:S223)</f>
        <v>172104925.05999997</v>
      </c>
      <c r="T190" s="189">
        <f t="shared" si="19"/>
        <v>842.78579627781369</v>
      </c>
      <c r="U190" s="189">
        <f>MAX(U191:U223)</f>
        <v>10526.800662881176</v>
      </c>
      <c r="V190" s="170">
        <f t="shared" si="23"/>
        <v>9684.014866603362</v>
      </c>
      <c r="W190" s="170"/>
      <c r="X190" s="170"/>
      <c r="Y190" s="173" t="e">
        <f t="shared" si="24"/>
        <v>#N/A</v>
      </c>
      <c r="AA190" s="173" t="e">
        <f t="shared" si="20"/>
        <v>#N/A</v>
      </c>
      <c r="AC190" s="173" t="s">
        <v>1616</v>
      </c>
      <c r="AD190" s="173">
        <v>430.15</v>
      </c>
      <c r="AH190" s="173" t="e">
        <f t="shared" si="21"/>
        <v>#N/A</v>
      </c>
      <c r="AS190" s="173" t="e">
        <f t="shared" si="22"/>
        <v>#N/A</v>
      </c>
    </row>
    <row r="191" spans="1:45" s="173" customFormat="1" ht="36" customHeight="1" x14ac:dyDescent="0.9">
      <c r="A191" s="173">
        <v>1</v>
      </c>
      <c r="B191" s="91">
        <f>SUBTOTAL(103,$A$16:A191)</f>
        <v>173</v>
      </c>
      <c r="C191" s="90" t="s">
        <v>786</v>
      </c>
      <c r="D191" s="185">
        <v>1960</v>
      </c>
      <c r="E191" s="185"/>
      <c r="F191" s="191" t="s">
        <v>273</v>
      </c>
      <c r="G191" s="185">
        <v>4</v>
      </c>
      <c r="H191" s="185">
        <v>3</v>
      </c>
      <c r="I191" s="189">
        <v>2116.5</v>
      </c>
      <c r="J191" s="189">
        <v>1931.2</v>
      </c>
      <c r="K191" s="189">
        <v>1680.5</v>
      </c>
      <c r="L191" s="187">
        <v>73</v>
      </c>
      <c r="M191" s="185" t="s">
        <v>271</v>
      </c>
      <c r="N191" s="185" t="s">
        <v>275</v>
      </c>
      <c r="O191" s="188" t="s">
        <v>826</v>
      </c>
      <c r="P191" s="189">
        <v>8096493.6899999995</v>
      </c>
      <c r="Q191" s="189">
        <v>0</v>
      </c>
      <c r="R191" s="189">
        <v>0</v>
      </c>
      <c r="S191" s="189">
        <f t="shared" ref="S191:S219" si="26">P191-Q191-R191</f>
        <v>8096493.6899999995</v>
      </c>
      <c r="T191" s="189">
        <f t="shared" si="19"/>
        <v>3825.4163430191352</v>
      </c>
      <c r="U191" s="189">
        <f>AG191</f>
        <v>4494.6760977630493</v>
      </c>
      <c r="V191" s="170">
        <f t="shared" si="23"/>
        <v>669.25975474391407</v>
      </c>
      <c r="W191" s="170"/>
      <c r="X191" s="170"/>
      <c r="Y191" s="173" t="e">
        <f t="shared" si="24"/>
        <v>#N/A</v>
      </c>
      <c r="AA191" s="173" t="e">
        <f t="shared" si="20"/>
        <v>#N/A</v>
      </c>
      <c r="AC191" s="173" t="s">
        <v>722</v>
      </c>
      <c r="AD191" s="173">
        <v>1241</v>
      </c>
      <c r="AG191" s="173">
        <f>AH191*6191.24/J191</f>
        <v>4494.6760977630493</v>
      </c>
      <c r="AH191" s="173">
        <f t="shared" si="21"/>
        <v>1402</v>
      </c>
      <c r="AS191" s="173" t="e">
        <f t="shared" si="22"/>
        <v>#N/A</v>
      </c>
    </row>
    <row r="192" spans="1:45" s="173" customFormat="1" ht="36" customHeight="1" x14ac:dyDescent="0.9">
      <c r="A192" s="173">
        <v>1</v>
      </c>
      <c r="B192" s="91">
        <f>SUBTOTAL(103,$A$16:A192)</f>
        <v>174</v>
      </c>
      <c r="C192" s="90" t="s">
        <v>787</v>
      </c>
      <c r="D192" s="185">
        <v>1938</v>
      </c>
      <c r="E192" s="185"/>
      <c r="F192" s="191" t="s">
        <v>332</v>
      </c>
      <c r="G192" s="185">
        <v>2</v>
      </c>
      <c r="H192" s="185">
        <v>2</v>
      </c>
      <c r="I192" s="189">
        <v>692.4</v>
      </c>
      <c r="J192" s="189">
        <v>632.79999999999995</v>
      </c>
      <c r="K192" s="189">
        <v>632.79999999999995</v>
      </c>
      <c r="L192" s="187">
        <v>23</v>
      </c>
      <c r="M192" s="185" t="s">
        <v>271</v>
      </c>
      <c r="N192" s="185" t="s">
        <v>272</v>
      </c>
      <c r="O192" s="188" t="s">
        <v>274</v>
      </c>
      <c r="P192" s="189">
        <v>2390164.4000000004</v>
      </c>
      <c r="Q192" s="189">
        <v>0</v>
      </c>
      <c r="R192" s="189">
        <v>0</v>
      </c>
      <c r="S192" s="189">
        <f t="shared" si="26"/>
        <v>2390164.4000000004</v>
      </c>
      <c r="T192" s="189">
        <f t="shared" si="19"/>
        <v>3451.9994222992495</v>
      </c>
      <c r="U192" s="189">
        <f>Y192</f>
        <v>3846.2131715771234</v>
      </c>
      <c r="V192" s="170">
        <f t="shared" si="23"/>
        <v>394.21374927787383</v>
      </c>
      <c r="W192" s="170"/>
      <c r="X192" s="170"/>
      <c r="Y192" s="173">
        <f t="shared" si="24"/>
        <v>3846.2131715771234</v>
      </c>
      <c r="AA192" s="173">
        <f t="shared" si="20"/>
        <v>510</v>
      </c>
      <c r="AC192" s="173" t="s">
        <v>1599</v>
      </c>
      <c r="AD192" s="173">
        <v>762.8</v>
      </c>
      <c r="AH192" s="173" t="e">
        <f t="shared" si="21"/>
        <v>#N/A</v>
      </c>
      <c r="AS192" s="173" t="e">
        <f t="shared" si="22"/>
        <v>#N/A</v>
      </c>
    </row>
    <row r="193" spans="1:45" s="173" customFormat="1" ht="36" customHeight="1" x14ac:dyDescent="0.9">
      <c r="A193" s="173">
        <v>1</v>
      </c>
      <c r="B193" s="91">
        <f>SUBTOTAL(103,$A$16:A193)</f>
        <v>175</v>
      </c>
      <c r="C193" s="90" t="s">
        <v>788</v>
      </c>
      <c r="D193" s="185">
        <v>1961</v>
      </c>
      <c r="E193" s="185"/>
      <c r="F193" s="191" t="s">
        <v>273</v>
      </c>
      <c r="G193" s="185">
        <v>2</v>
      </c>
      <c r="H193" s="185">
        <v>1</v>
      </c>
      <c r="I193" s="189">
        <v>296.39999999999998</v>
      </c>
      <c r="J193" s="189">
        <v>275.5</v>
      </c>
      <c r="K193" s="189">
        <v>275.5</v>
      </c>
      <c r="L193" s="187">
        <v>8</v>
      </c>
      <c r="M193" s="185" t="s">
        <v>271</v>
      </c>
      <c r="N193" s="185" t="s">
        <v>275</v>
      </c>
      <c r="O193" s="188" t="s">
        <v>827</v>
      </c>
      <c r="P193" s="189">
        <v>1220001.9200000002</v>
      </c>
      <c r="Q193" s="189">
        <v>0</v>
      </c>
      <c r="R193" s="189">
        <v>0</v>
      </c>
      <c r="S193" s="189">
        <f t="shared" si="26"/>
        <v>1220001.9200000002</v>
      </c>
      <c r="T193" s="189">
        <f t="shared" si="19"/>
        <v>4116.0658569500683</v>
      </c>
      <c r="U193" s="189">
        <f>Y193</f>
        <v>4668.6133603238868</v>
      </c>
      <c r="V193" s="170">
        <f t="shared" si="23"/>
        <v>552.54750337381847</v>
      </c>
      <c r="W193" s="170"/>
      <c r="X193" s="170"/>
      <c r="Y193" s="173">
        <f t="shared" si="24"/>
        <v>4668.6133603238868</v>
      </c>
      <c r="AA193" s="173">
        <f t="shared" si="20"/>
        <v>265</v>
      </c>
      <c r="AC193" s="173" t="s">
        <v>820</v>
      </c>
      <c r="AD193" s="173">
        <v>475</v>
      </c>
      <c r="AH193" s="173" t="e">
        <f t="shared" si="21"/>
        <v>#N/A</v>
      </c>
      <c r="AS193" s="173" t="e">
        <f t="shared" si="22"/>
        <v>#N/A</v>
      </c>
    </row>
    <row r="194" spans="1:45" s="173" customFormat="1" ht="36" customHeight="1" x14ac:dyDescent="0.9">
      <c r="A194" s="173">
        <v>1</v>
      </c>
      <c r="B194" s="91">
        <f>SUBTOTAL(103,$A$16:A194)</f>
        <v>176</v>
      </c>
      <c r="C194" s="90" t="s">
        <v>789</v>
      </c>
      <c r="D194" s="185">
        <v>1988</v>
      </c>
      <c r="E194" s="185"/>
      <c r="F194" s="191" t="s">
        <v>326</v>
      </c>
      <c r="G194" s="185">
        <v>9</v>
      </c>
      <c r="H194" s="185">
        <v>3</v>
      </c>
      <c r="I194" s="189">
        <v>6561.4</v>
      </c>
      <c r="J194" s="189">
        <v>5844</v>
      </c>
      <c r="K194" s="189">
        <v>5844</v>
      </c>
      <c r="L194" s="187">
        <v>243</v>
      </c>
      <c r="M194" s="185" t="s">
        <v>271</v>
      </c>
      <c r="N194" s="185" t="s">
        <v>275</v>
      </c>
      <c r="O194" s="188" t="s">
        <v>828</v>
      </c>
      <c r="P194" s="189">
        <v>6235239.4299999997</v>
      </c>
      <c r="Q194" s="189">
        <v>0</v>
      </c>
      <c r="R194" s="189">
        <v>0</v>
      </c>
      <c r="S194" s="189">
        <f t="shared" si="26"/>
        <v>6235239.4299999997</v>
      </c>
      <c r="T194" s="189">
        <f t="shared" si="19"/>
        <v>950.29100954064677</v>
      </c>
      <c r="U194" s="189">
        <f>AR194</f>
        <v>1009.2722589691225</v>
      </c>
      <c r="V194" s="170">
        <f t="shared" si="23"/>
        <v>58.981249428475735</v>
      </c>
      <c r="W194" s="170"/>
      <c r="X194" s="170"/>
      <c r="Y194" s="173" t="e">
        <f t="shared" si="24"/>
        <v>#N/A</v>
      </c>
      <c r="AA194" s="173" t="e">
        <f t="shared" si="20"/>
        <v>#N/A</v>
      </c>
      <c r="AC194" s="173" t="s">
        <v>115</v>
      </c>
      <c r="AD194" s="173">
        <v>665</v>
      </c>
      <c r="AH194" s="173" t="e">
        <f t="shared" si="21"/>
        <v>#N/A</v>
      </c>
      <c r="AR194" s="173">
        <f>AS194*2207413/I194</f>
        <v>1009.2722589691225</v>
      </c>
      <c r="AS194" s="173">
        <f t="shared" si="22"/>
        <v>3</v>
      </c>
    </row>
    <row r="195" spans="1:45" s="173" customFormat="1" ht="36" customHeight="1" x14ac:dyDescent="0.9">
      <c r="A195" s="173">
        <v>1</v>
      </c>
      <c r="B195" s="91">
        <f>SUBTOTAL(103,$A$16:A195)</f>
        <v>177</v>
      </c>
      <c r="C195" s="90" t="s">
        <v>790</v>
      </c>
      <c r="D195" s="185">
        <v>1988</v>
      </c>
      <c r="E195" s="185"/>
      <c r="F195" s="191" t="s">
        <v>273</v>
      </c>
      <c r="G195" s="185">
        <v>9</v>
      </c>
      <c r="H195" s="185">
        <v>4</v>
      </c>
      <c r="I195" s="189">
        <v>9256.7000000000007</v>
      </c>
      <c r="J195" s="189">
        <v>8471</v>
      </c>
      <c r="K195" s="189">
        <v>8471</v>
      </c>
      <c r="L195" s="187">
        <v>452</v>
      </c>
      <c r="M195" s="185" t="s">
        <v>271</v>
      </c>
      <c r="N195" s="185" t="s">
        <v>275</v>
      </c>
      <c r="O195" s="188" t="s">
        <v>827</v>
      </c>
      <c r="P195" s="189">
        <v>8305636.5700000003</v>
      </c>
      <c r="Q195" s="189">
        <v>0</v>
      </c>
      <c r="R195" s="189">
        <v>0</v>
      </c>
      <c r="S195" s="189">
        <f t="shared" si="26"/>
        <v>8305636.5700000003</v>
      </c>
      <c r="T195" s="189">
        <f t="shared" si="19"/>
        <v>897.25675132606648</v>
      </c>
      <c r="U195" s="189">
        <f>AR195</f>
        <v>953.86606458024994</v>
      </c>
      <c r="V195" s="170">
        <f t="shared" si="23"/>
        <v>56.609313254183462</v>
      </c>
      <c r="W195" s="170"/>
      <c r="X195" s="170"/>
      <c r="Y195" s="173" t="e">
        <f t="shared" si="24"/>
        <v>#N/A</v>
      </c>
      <c r="AA195" s="173" t="e">
        <f t="shared" si="20"/>
        <v>#N/A</v>
      </c>
      <c r="AC195" s="173" t="s">
        <v>118</v>
      </c>
      <c r="AD195" s="173">
        <v>621.29999999999995</v>
      </c>
      <c r="AH195" s="173" t="e">
        <f t="shared" si="21"/>
        <v>#N/A</v>
      </c>
      <c r="AR195" s="173">
        <f>AS195*2207413/I195</f>
        <v>953.86606458024994</v>
      </c>
      <c r="AS195" s="173">
        <f t="shared" si="22"/>
        <v>4</v>
      </c>
    </row>
    <row r="196" spans="1:45" s="173" customFormat="1" ht="36" customHeight="1" x14ac:dyDescent="0.9">
      <c r="A196" s="173">
        <v>1</v>
      </c>
      <c r="B196" s="91">
        <f>SUBTOTAL(103,$A$16:A196)</f>
        <v>178</v>
      </c>
      <c r="C196" s="90" t="s">
        <v>791</v>
      </c>
      <c r="D196" s="185">
        <v>1984</v>
      </c>
      <c r="E196" s="185"/>
      <c r="F196" s="191" t="s">
        <v>326</v>
      </c>
      <c r="G196" s="185">
        <v>9</v>
      </c>
      <c r="H196" s="185">
        <v>5</v>
      </c>
      <c r="I196" s="189">
        <v>12333.3</v>
      </c>
      <c r="J196" s="189">
        <v>9670</v>
      </c>
      <c r="K196" s="189">
        <v>9670</v>
      </c>
      <c r="L196" s="187">
        <v>417</v>
      </c>
      <c r="M196" s="185" t="s">
        <v>271</v>
      </c>
      <c r="N196" s="185" t="s">
        <v>275</v>
      </c>
      <c r="O196" s="188" t="s">
        <v>829</v>
      </c>
      <c r="P196" s="189">
        <v>10305814.43</v>
      </c>
      <c r="Q196" s="189">
        <v>0</v>
      </c>
      <c r="R196" s="189">
        <v>0</v>
      </c>
      <c r="S196" s="189">
        <f t="shared" si="26"/>
        <v>10305814.43</v>
      </c>
      <c r="T196" s="189">
        <f t="shared" si="19"/>
        <v>835.60883380765893</v>
      </c>
      <c r="U196" s="189">
        <f>AR196</f>
        <v>894.8995808096779</v>
      </c>
      <c r="V196" s="170">
        <f t="shared" si="23"/>
        <v>59.290747002018975</v>
      </c>
      <c r="W196" s="170"/>
      <c r="X196" s="170"/>
      <c r="Y196" s="173" t="e">
        <f t="shared" si="24"/>
        <v>#N/A</v>
      </c>
      <c r="AA196" s="173" t="e">
        <f t="shared" si="20"/>
        <v>#N/A</v>
      </c>
      <c r="AC196" s="173" t="s">
        <v>114</v>
      </c>
      <c r="AD196" s="173">
        <v>323.5</v>
      </c>
      <c r="AH196" s="173" t="e">
        <f t="shared" si="21"/>
        <v>#N/A</v>
      </c>
      <c r="AR196" s="173">
        <f>AS196*2207413/I196</f>
        <v>894.8995808096779</v>
      </c>
      <c r="AS196" s="173">
        <f t="shared" si="22"/>
        <v>5</v>
      </c>
    </row>
    <row r="197" spans="1:45" s="173" customFormat="1" ht="36" customHeight="1" x14ac:dyDescent="0.9">
      <c r="A197" s="173">
        <v>1</v>
      </c>
      <c r="B197" s="91">
        <f>SUBTOTAL(103,$A$16:A197)</f>
        <v>179</v>
      </c>
      <c r="C197" s="90" t="s">
        <v>792</v>
      </c>
      <c r="D197" s="185">
        <v>1987</v>
      </c>
      <c r="E197" s="185"/>
      <c r="F197" s="191" t="s">
        <v>326</v>
      </c>
      <c r="G197" s="185">
        <v>9</v>
      </c>
      <c r="H197" s="185">
        <v>5</v>
      </c>
      <c r="I197" s="189">
        <v>12462.6</v>
      </c>
      <c r="J197" s="189">
        <v>9746.7999999999993</v>
      </c>
      <c r="K197" s="189">
        <v>9746.7999999999993</v>
      </c>
      <c r="L197" s="187">
        <v>419</v>
      </c>
      <c r="M197" s="185" t="s">
        <v>271</v>
      </c>
      <c r="N197" s="185" t="s">
        <v>275</v>
      </c>
      <c r="O197" s="188" t="s">
        <v>829</v>
      </c>
      <c r="P197" s="189">
        <v>9954095.7100000009</v>
      </c>
      <c r="Q197" s="189">
        <v>0</v>
      </c>
      <c r="R197" s="189">
        <v>0</v>
      </c>
      <c r="S197" s="189">
        <f t="shared" si="26"/>
        <v>9954095.7100000009</v>
      </c>
      <c r="T197" s="189">
        <f t="shared" si="19"/>
        <v>798.71741931860129</v>
      </c>
      <c r="U197" s="189">
        <f>AR197</f>
        <v>885.61495996020085</v>
      </c>
      <c r="V197" s="170">
        <f t="shared" si="23"/>
        <v>86.897540641599562</v>
      </c>
      <c r="W197" s="170"/>
      <c r="X197" s="170"/>
      <c r="Y197" s="173" t="e">
        <f t="shared" si="24"/>
        <v>#N/A</v>
      </c>
      <c r="AA197" s="173" t="e">
        <f t="shared" si="20"/>
        <v>#N/A</v>
      </c>
      <c r="AC197" s="173" t="s">
        <v>116</v>
      </c>
      <c r="AD197" s="173">
        <v>1256.9000000000001</v>
      </c>
      <c r="AH197" s="173" t="e">
        <f t="shared" si="21"/>
        <v>#N/A</v>
      </c>
      <c r="AR197" s="173">
        <f>AS197*2207413/I197</f>
        <v>885.61495996020085</v>
      </c>
      <c r="AS197" s="173">
        <f t="shared" si="22"/>
        <v>5</v>
      </c>
    </row>
    <row r="198" spans="1:45" s="173" customFormat="1" ht="36" customHeight="1" x14ac:dyDescent="0.9">
      <c r="A198" s="173">
        <v>1</v>
      </c>
      <c r="B198" s="91">
        <f>SUBTOTAL(103,$A$16:A198)</f>
        <v>180</v>
      </c>
      <c r="C198" s="90" t="s">
        <v>793</v>
      </c>
      <c r="D198" s="185">
        <v>1937</v>
      </c>
      <c r="E198" s="185"/>
      <c r="F198" s="191" t="s">
        <v>273</v>
      </c>
      <c r="G198" s="185">
        <v>3</v>
      </c>
      <c r="H198" s="185">
        <v>4</v>
      </c>
      <c r="I198" s="189">
        <v>2718</v>
      </c>
      <c r="J198" s="189">
        <v>2039</v>
      </c>
      <c r="K198" s="189">
        <v>2039</v>
      </c>
      <c r="L198" s="187">
        <v>62</v>
      </c>
      <c r="M198" s="185" t="s">
        <v>271</v>
      </c>
      <c r="N198" s="185" t="s">
        <v>275</v>
      </c>
      <c r="O198" s="188" t="s">
        <v>830</v>
      </c>
      <c r="P198" s="189">
        <v>9310459.7000000011</v>
      </c>
      <c r="Q198" s="189">
        <v>0</v>
      </c>
      <c r="R198" s="189">
        <v>0</v>
      </c>
      <c r="S198" s="189">
        <f t="shared" si="26"/>
        <v>9310459.7000000011</v>
      </c>
      <c r="T198" s="189">
        <f t="shared" si="19"/>
        <v>3425.4818616629877</v>
      </c>
      <c r="U198" s="189">
        <v>3697.55</v>
      </c>
      <c r="V198" s="170">
        <f t="shared" si="23"/>
        <v>272.06813833701244</v>
      </c>
      <c r="W198" s="170"/>
      <c r="X198" s="170"/>
      <c r="Y198" s="173" t="e">
        <f t="shared" si="24"/>
        <v>#N/A</v>
      </c>
      <c r="AA198" s="173" t="e">
        <f t="shared" si="20"/>
        <v>#N/A</v>
      </c>
      <c r="AC198" s="173" t="s">
        <v>117</v>
      </c>
      <c r="AD198" s="173">
        <v>1151</v>
      </c>
      <c r="AH198" s="173" t="e">
        <f t="shared" si="21"/>
        <v>#N/A</v>
      </c>
      <c r="AS198" s="173" t="e">
        <f t="shared" si="22"/>
        <v>#N/A</v>
      </c>
    </row>
    <row r="199" spans="1:45" s="173" customFormat="1" ht="36" customHeight="1" x14ac:dyDescent="0.9">
      <c r="A199" s="173">
        <v>1</v>
      </c>
      <c r="B199" s="91">
        <f>SUBTOTAL(103,$A$16:A199)</f>
        <v>181</v>
      </c>
      <c r="C199" s="90" t="s">
        <v>794</v>
      </c>
      <c r="D199" s="185">
        <v>1958</v>
      </c>
      <c r="E199" s="185"/>
      <c r="F199" s="191" t="s">
        <v>273</v>
      </c>
      <c r="G199" s="185">
        <v>2</v>
      </c>
      <c r="H199" s="185">
        <v>2</v>
      </c>
      <c r="I199" s="189">
        <v>478.27</v>
      </c>
      <c r="J199" s="189">
        <v>304.72000000000003</v>
      </c>
      <c r="K199" s="189">
        <v>304.72000000000003</v>
      </c>
      <c r="L199" s="187">
        <v>20</v>
      </c>
      <c r="M199" s="185" t="s">
        <v>271</v>
      </c>
      <c r="N199" s="185" t="s">
        <v>272</v>
      </c>
      <c r="O199" s="188" t="s">
        <v>274</v>
      </c>
      <c r="P199" s="189">
        <v>1728218.4</v>
      </c>
      <c r="Q199" s="189">
        <v>0</v>
      </c>
      <c r="R199" s="189">
        <v>0</v>
      </c>
      <c r="S199" s="189">
        <f t="shared" si="26"/>
        <v>1728218.4</v>
      </c>
      <c r="T199" s="189">
        <f t="shared" si="19"/>
        <v>3613.4785790453093</v>
      </c>
      <c r="U199" s="189">
        <f>Y199</f>
        <v>7369.7179417483849</v>
      </c>
      <c r="V199" s="170">
        <f t="shared" si="23"/>
        <v>3756.2393627030756</v>
      </c>
      <c r="W199" s="170"/>
      <c r="X199" s="170"/>
      <c r="Y199" s="173">
        <f t="shared" si="24"/>
        <v>7369.7179417483849</v>
      </c>
      <c r="AA199" s="173">
        <f t="shared" si="20"/>
        <v>675</v>
      </c>
      <c r="AC199" s="173" t="s">
        <v>119</v>
      </c>
      <c r="AD199" s="173">
        <v>639.9</v>
      </c>
      <c r="AH199" s="173" t="e">
        <f t="shared" si="21"/>
        <v>#N/A</v>
      </c>
      <c r="AS199" s="173" t="e">
        <f t="shared" si="22"/>
        <v>#N/A</v>
      </c>
    </row>
    <row r="200" spans="1:45" s="173" customFormat="1" ht="36" customHeight="1" x14ac:dyDescent="0.9">
      <c r="A200" s="173">
        <v>1</v>
      </c>
      <c r="B200" s="91">
        <f>SUBTOTAL(103,$A$16:A200)</f>
        <v>182</v>
      </c>
      <c r="C200" s="90" t="s">
        <v>795</v>
      </c>
      <c r="D200" s="185">
        <v>1962</v>
      </c>
      <c r="E200" s="185"/>
      <c r="F200" s="191" t="s">
        <v>273</v>
      </c>
      <c r="G200" s="185">
        <v>6</v>
      </c>
      <c r="H200" s="185">
        <v>5</v>
      </c>
      <c r="I200" s="189">
        <v>5489.1</v>
      </c>
      <c r="J200" s="189">
        <v>4498.1000000000004</v>
      </c>
      <c r="K200" s="189">
        <v>4151.8999999999996</v>
      </c>
      <c r="L200" s="187">
        <v>130</v>
      </c>
      <c r="M200" s="185" t="s">
        <v>271</v>
      </c>
      <c r="N200" s="185" t="s">
        <v>275</v>
      </c>
      <c r="O200" s="188" t="s">
        <v>831</v>
      </c>
      <c r="P200" s="189">
        <v>8044895.8899999997</v>
      </c>
      <c r="Q200" s="189">
        <v>0</v>
      </c>
      <c r="R200" s="189">
        <v>0</v>
      </c>
      <c r="S200" s="189">
        <f t="shared" si="26"/>
        <v>8044895.8899999997</v>
      </c>
      <c r="T200" s="189">
        <f t="shared" si="19"/>
        <v>1465.6129219726365</v>
      </c>
      <c r="U200" s="189">
        <f>T200</f>
        <v>1465.6129219726365</v>
      </c>
      <c r="V200" s="170">
        <f t="shared" si="23"/>
        <v>0</v>
      </c>
      <c r="W200" s="170"/>
      <c r="X200" s="170"/>
      <c r="Y200" s="173">
        <f t="shared" si="24"/>
        <v>1255.0261583866206</v>
      </c>
      <c r="AA200" s="173">
        <f t="shared" si="20"/>
        <v>1319.27</v>
      </c>
      <c r="AC200" s="173" t="s">
        <v>1251</v>
      </c>
      <c r="AD200" s="173">
        <v>1150.3</v>
      </c>
      <c r="AH200" s="173" t="e">
        <f t="shared" si="21"/>
        <v>#N/A</v>
      </c>
      <c r="AS200" s="173" t="e">
        <f t="shared" si="22"/>
        <v>#N/A</v>
      </c>
    </row>
    <row r="201" spans="1:45" s="173" customFormat="1" ht="36" customHeight="1" x14ac:dyDescent="0.9">
      <c r="A201" s="173">
        <v>1</v>
      </c>
      <c r="B201" s="91">
        <f>SUBTOTAL(103,$A$16:A201)</f>
        <v>183</v>
      </c>
      <c r="C201" s="90" t="s">
        <v>796</v>
      </c>
      <c r="D201" s="185">
        <v>1962</v>
      </c>
      <c r="E201" s="185"/>
      <c r="F201" s="191" t="s">
        <v>273</v>
      </c>
      <c r="G201" s="185">
        <v>4</v>
      </c>
      <c r="H201" s="185">
        <v>3</v>
      </c>
      <c r="I201" s="189">
        <v>2946.2</v>
      </c>
      <c r="J201" s="189">
        <v>1810.2</v>
      </c>
      <c r="K201" s="189">
        <v>1653.1</v>
      </c>
      <c r="L201" s="187">
        <v>95</v>
      </c>
      <c r="M201" s="185" t="s">
        <v>271</v>
      </c>
      <c r="N201" s="185" t="s">
        <v>275</v>
      </c>
      <c r="O201" s="188" t="s">
        <v>828</v>
      </c>
      <c r="P201" s="189">
        <v>5123354.76</v>
      </c>
      <c r="Q201" s="189">
        <v>0</v>
      </c>
      <c r="R201" s="189">
        <v>0</v>
      </c>
      <c r="S201" s="189">
        <f t="shared" si="26"/>
        <v>5123354.76</v>
      </c>
      <c r="T201" s="189">
        <f t="shared" si="19"/>
        <v>1738.9704568596837</v>
      </c>
      <c r="U201" s="189">
        <f>Y201</f>
        <v>1914.1755481637365</v>
      </c>
      <c r="V201" s="170">
        <f t="shared" si="23"/>
        <v>175.20509130405276</v>
      </c>
      <c r="W201" s="170"/>
      <c r="X201" s="170"/>
      <c r="Y201" s="173">
        <f t="shared" si="24"/>
        <v>1914.1755481637365</v>
      </c>
      <c r="AA201" s="173">
        <f t="shared" si="20"/>
        <v>1080</v>
      </c>
      <c r="AC201" s="173" t="s">
        <v>1252</v>
      </c>
      <c r="AD201" s="173">
        <v>763.8</v>
      </c>
      <c r="AH201" s="173" t="e">
        <f t="shared" si="21"/>
        <v>#N/A</v>
      </c>
      <c r="AS201" s="173" t="e">
        <f t="shared" si="22"/>
        <v>#N/A</v>
      </c>
    </row>
    <row r="202" spans="1:45" s="173" customFormat="1" ht="36" customHeight="1" x14ac:dyDescent="0.9">
      <c r="A202" s="173">
        <v>1</v>
      </c>
      <c r="B202" s="91">
        <f>SUBTOTAL(103,$A$16:A202)</f>
        <v>184</v>
      </c>
      <c r="C202" s="90" t="s">
        <v>797</v>
      </c>
      <c r="D202" s="185">
        <v>1930</v>
      </c>
      <c r="E202" s="185"/>
      <c r="F202" s="191" t="s">
        <v>273</v>
      </c>
      <c r="G202" s="185">
        <v>4</v>
      </c>
      <c r="H202" s="185">
        <v>2</v>
      </c>
      <c r="I202" s="189">
        <v>3000</v>
      </c>
      <c r="J202" s="189">
        <v>2823.84</v>
      </c>
      <c r="K202" s="189">
        <v>1772.64</v>
      </c>
      <c r="L202" s="187">
        <v>98</v>
      </c>
      <c r="M202" s="185" t="s">
        <v>271</v>
      </c>
      <c r="N202" s="185" t="s">
        <v>272</v>
      </c>
      <c r="O202" s="188" t="s">
        <v>274</v>
      </c>
      <c r="P202" s="189">
        <v>8021093.6299999999</v>
      </c>
      <c r="Q202" s="189">
        <v>0</v>
      </c>
      <c r="R202" s="189">
        <v>0</v>
      </c>
      <c r="S202" s="189">
        <f t="shared" si="26"/>
        <v>8021093.6299999999</v>
      </c>
      <c r="T202" s="189">
        <f t="shared" si="19"/>
        <v>2673.6978766666666</v>
      </c>
      <c r="U202" s="189">
        <f>T202</f>
        <v>2673.6978766666666</v>
      </c>
      <c r="V202" s="170">
        <f t="shared" si="23"/>
        <v>0</v>
      </c>
      <c r="W202" s="170"/>
      <c r="X202" s="170"/>
      <c r="Y202" s="173">
        <f t="shared" si="24"/>
        <v>2394.8915400000005</v>
      </c>
      <c r="AA202" s="173">
        <f t="shared" si="20"/>
        <v>1375.9</v>
      </c>
      <c r="AC202" s="173" t="s">
        <v>1253</v>
      </c>
      <c r="AD202" s="173">
        <v>461.1</v>
      </c>
      <c r="AH202" s="173" t="e">
        <f t="shared" si="21"/>
        <v>#N/A</v>
      </c>
      <c r="AS202" s="173" t="e">
        <f t="shared" si="22"/>
        <v>#N/A</v>
      </c>
    </row>
    <row r="203" spans="1:45" s="173" customFormat="1" ht="36" customHeight="1" x14ac:dyDescent="0.9">
      <c r="A203" s="173">
        <v>1</v>
      </c>
      <c r="B203" s="91">
        <f>SUBTOTAL(103,$A$16:A203)</f>
        <v>185</v>
      </c>
      <c r="C203" s="90" t="s">
        <v>1192</v>
      </c>
      <c r="D203" s="185">
        <v>1954</v>
      </c>
      <c r="E203" s="185"/>
      <c r="F203" s="191" t="s">
        <v>273</v>
      </c>
      <c r="G203" s="185">
        <v>2</v>
      </c>
      <c r="H203" s="185">
        <v>1</v>
      </c>
      <c r="I203" s="189">
        <v>796.2</v>
      </c>
      <c r="J203" s="189">
        <v>475.5</v>
      </c>
      <c r="K203" s="189">
        <v>475.5</v>
      </c>
      <c r="L203" s="187">
        <v>37</v>
      </c>
      <c r="M203" s="185" t="s">
        <v>271</v>
      </c>
      <c r="N203" s="185" t="s">
        <v>275</v>
      </c>
      <c r="O203" s="188" t="s">
        <v>1327</v>
      </c>
      <c r="P203" s="189">
        <v>3570035.3200000003</v>
      </c>
      <c r="Q203" s="189">
        <v>0</v>
      </c>
      <c r="R203" s="189">
        <v>0</v>
      </c>
      <c r="S203" s="189">
        <f t="shared" si="26"/>
        <v>3570035.3200000003</v>
      </c>
      <c r="T203" s="189">
        <f t="shared" si="19"/>
        <v>4483.8424014066823</v>
      </c>
      <c r="U203" s="189">
        <f>AG203</f>
        <v>10526.800662881176</v>
      </c>
      <c r="V203" s="170">
        <f t="shared" si="23"/>
        <v>6042.9582614744941</v>
      </c>
      <c r="W203" s="170"/>
      <c r="X203" s="170"/>
      <c r="Y203" s="173" t="e">
        <f t="shared" si="24"/>
        <v>#N/A</v>
      </c>
      <c r="AA203" s="173" t="e">
        <f t="shared" si="20"/>
        <v>#N/A</v>
      </c>
      <c r="AC203" s="173" t="s">
        <v>1255</v>
      </c>
      <c r="AD203" s="173">
        <v>1528.9</v>
      </c>
      <c r="AG203" s="173">
        <f>AH203*6191.24/J203</f>
        <v>10526.800662881176</v>
      </c>
      <c r="AH203" s="173">
        <f t="shared" si="21"/>
        <v>808.48</v>
      </c>
      <c r="AS203" s="173" t="e">
        <f t="shared" si="22"/>
        <v>#N/A</v>
      </c>
    </row>
    <row r="204" spans="1:45" s="173" customFormat="1" ht="36" customHeight="1" x14ac:dyDescent="0.9">
      <c r="A204" s="173">
        <v>1</v>
      </c>
      <c r="B204" s="91">
        <f>SUBTOTAL(103,$A$16:A204)</f>
        <v>186</v>
      </c>
      <c r="C204" s="90" t="s">
        <v>1193</v>
      </c>
      <c r="D204" s="185">
        <v>1937</v>
      </c>
      <c r="E204" s="185"/>
      <c r="F204" s="191" t="s">
        <v>273</v>
      </c>
      <c r="G204" s="185">
        <v>3</v>
      </c>
      <c r="H204" s="185">
        <v>4</v>
      </c>
      <c r="I204" s="189">
        <v>2626</v>
      </c>
      <c r="J204" s="189">
        <v>2539.62</v>
      </c>
      <c r="K204" s="189">
        <v>2422.8000000000002</v>
      </c>
      <c r="L204" s="187">
        <v>96</v>
      </c>
      <c r="M204" s="185" t="s">
        <v>271</v>
      </c>
      <c r="N204" s="185" t="s">
        <v>275</v>
      </c>
      <c r="O204" s="188" t="s">
        <v>835</v>
      </c>
      <c r="P204" s="189">
        <v>3073982.0300000003</v>
      </c>
      <c r="Q204" s="189">
        <v>0</v>
      </c>
      <c r="R204" s="189">
        <v>0</v>
      </c>
      <c r="S204" s="189">
        <f t="shared" si="26"/>
        <v>3073982.0300000003</v>
      </c>
      <c r="T204" s="189">
        <f t="shared" si="19"/>
        <v>1170.5948324447832</v>
      </c>
      <c r="U204" s="189">
        <v>3697.55</v>
      </c>
      <c r="V204" s="170">
        <f t="shared" si="23"/>
        <v>2526.955167555217</v>
      </c>
      <c r="W204" s="170"/>
      <c r="X204" s="170"/>
      <c r="Y204" s="173" t="e">
        <f t="shared" si="24"/>
        <v>#N/A</v>
      </c>
      <c r="AA204" s="173" t="e">
        <f t="shared" si="20"/>
        <v>#N/A</v>
      </c>
      <c r="AC204" s="173" t="s">
        <v>1603</v>
      </c>
      <c r="AD204" s="173">
        <v>870</v>
      </c>
      <c r="AH204" s="173" t="e">
        <f t="shared" si="21"/>
        <v>#N/A</v>
      </c>
      <c r="AS204" s="173" t="e">
        <f t="shared" si="22"/>
        <v>#N/A</v>
      </c>
    </row>
    <row r="205" spans="1:45" s="173" customFormat="1" ht="36" customHeight="1" x14ac:dyDescent="0.9">
      <c r="A205" s="173">
        <v>1</v>
      </c>
      <c r="B205" s="91">
        <f>SUBTOTAL(103,$A$16:A205)</f>
        <v>187</v>
      </c>
      <c r="C205" s="90" t="s">
        <v>1194</v>
      </c>
      <c r="D205" s="185">
        <v>1934</v>
      </c>
      <c r="E205" s="185"/>
      <c r="F205" s="191" t="s">
        <v>273</v>
      </c>
      <c r="G205" s="185">
        <v>4</v>
      </c>
      <c r="H205" s="185">
        <v>6</v>
      </c>
      <c r="I205" s="189">
        <v>3106.06</v>
      </c>
      <c r="J205" s="189">
        <v>2975.66</v>
      </c>
      <c r="K205" s="189">
        <v>2536.1999999999998</v>
      </c>
      <c r="L205" s="187">
        <v>138</v>
      </c>
      <c r="M205" s="185" t="s">
        <v>271</v>
      </c>
      <c r="N205" s="185" t="s">
        <v>275</v>
      </c>
      <c r="O205" s="188" t="s">
        <v>1650</v>
      </c>
      <c r="P205" s="189">
        <v>5597667.4300000006</v>
      </c>
      <c r="Q205" s="189">
        <v>0</v>
      </c>
      <c r="R205" s="189">
        <v>0</v>
      </c>
      <c r="S205" s="189">
        <f t="shared" si="26"/>
        <v>5597667.4300000006</v>
      </c>
      <c r="T205" s="189">
        <f t="shared" si="19"/>
        <v>1802.1762071563332</v>
      </c>
      <c r="U205" s="189">
        <f>Y205</f>
        <v>2027.855094879043</v>
      </c>
      <c r="V205" s="170">
        <f t="shared" si="23"/>
        <v>225.67888772270976</v>
      </c>
      <c r="W205" s="170"/>
      <c r="X205" s="170"/>
      <c r="Y205" s="173">
        <f t="shared" si="24"/>
        <v>2027.855094879043</v>
      </c>
      <c r="AA205" s="173">
        <f t="shared" si="20"/>
        <v>1206.22</v>
      </c>
      <c r="AC205" s="173" t="s">
        <v>136</v>
      </c>
      <c r="AD205" s="173">
        <v>1229.9000000000001</v>
      </c>
      <c r="AH205" s="173" t="e">
        <f t="shared" si="21"/>
        <v>#N/A</v>
      </c>
      <c r="AS205" s="173" t="e">
        <f t="shared" si="22"/>
        <v>#N/A</v>
      </c>
    </row>
    <row r="206" spans="1:45" s="173" customFormat="1" ht="36" customHeight="1" x14ac:dyDescent="0.9">
      <c r="A206" s="173">
        <v>1</v>
      </c>
      <c r="B206" s="91">
        <f>SUBTOTAL(103,$A$16:A206)</f>
        <v>188</v>
      </c>
      <c r="C206" s="90" t="s">
        <v>1195</v>
      </c>
      <c r="D206" s="185">
        <v>1965</v>
      </c>
      <c r="E206" s="185"/>
      <c r="F206" s="191" t="s">
        <v>273</v>
      </c>
      <c r="G206" s="185">
        <v>4</v>
      </c>
      <c r="H206" s="185">
        <v>2</v>
      </c>
      <c r="I206" s="189">
        <v>1301</v>
      </c>
      <c r="J206" s="189">
        <v>819</v>
      </c>
      <c r="K206" s="189">
        <v>819</v>
      </c>
      <c r="L206" s="187">
        <v>55</v>
      </c>
      <c r="M206" s="185" t="s">
        <v>271</v>
      </c>
      <c r="N206" s="185" t="s">
        <v>275</v>
      </c>
      <c r="O206" s="188" t="s">
        <v>830</v>
      </c>
      <c r="P206" s="189">
        <v>958906.03</v>
      </c>
      <c r="Q206" s="189">
        <v>0</v>
      </c>
      <c r="R206" s="189">
        <v>0</v>
      </c>
      <c r="S206" s="189">
        <f t="shared" si="26"/>
        <v>958906.03</v>
      </c>
      <c r="T206" s="189">
        <f t="shared" ref="T206:T269" si="27">P206/I206</f>
        <v>737.05305918524209</v>
      </c>
      <c r="U206" s="189">
        <v>849.44999999999993</v>
      </c>
      <c r="V206" s="170">
        <f t="shared" si="23"/>
        <v>112.39694081475784</v>
      </c>
      <c r="W206" s="170"/>
      <c r="X206" s="170"/>
      <c r="Y206" s="173" t="e">
        <f t="shared" si="24"/>
        <v>#N/A</v>
      </c>
      <c r="AA206" s="173" t="e">
        <f t="shared" si="20"/>
        <v>#N/A</v>
      </c>
      <c r="AC206" s="173" t="s">
        <v>121</v>
      </c>
      <c r="AD206" s="173">
        <v>541.1</v>
      </c>
      <c r="AH206" s="173" t="e">
        <f t="shared" si="21"/>
        <v>#N/A</v>
      </c>
      <c r="AS206" s="173" t="e">
        <f t="shared" si="22"/>
        <v>#N/A</v>
      </c>
    </row>
    <row r="207" spans="1:45" s="173" customFormat="1" ht="36" customHeight="1" x14ac:dyDescent="0.9">
      <c r="A207" s="173">
        <v>1</v>
      </c>
      <c r="B207" s="91">
        <f>SUBTOTAL(103,$A$16:A207)</f>
        <v>189</v>
      </c>
      <c r="C207" s="90" t="s">
        <v>1197</v>
      </c>
      <c r="D207" s="185">
        <v>1981</v>
      </c>
      <c r="E207" s="185"/>
      <c r="F207" s="191" t="s">
        <v>326</v>
      </c>
      <c r="G207" s="185">
        <v>5</v>
      </c>
      <c r="H207" s="185">
        <v>6</v>
      </c>
      <c r="I207" s="189">
        <v>6247.1</v>
      </c>
      <c r="J207" s="189">
        <v>4719.7</v>
      </c>
      <c r="K207" s="189">
        <v>4641.3999999999996</v>
      </c>
      <c r="L207" s="187">
        <v>201</v>
      </c>
      <c r="M207" s="185" t="s">
        <v>271</v>
      </c>
      <c r="N207" s="185" t="s">
        <v>275</v>
      </c>
      <c r="O207" s="188" t="s">
        <v>1373</v>
      </c>
      <c r="P207" s="189">
        <v>3820202.75</v>
      </c>
      <c r="Q207" s="189">
        <v>0</v>
      </c>
      <c r="R207" s="189">
        <v>0</v>
      </c>
      <c r="S207" s="189">
        <f t="shared" si="26"/>
        <v>3820202.75</v>
      </c>
      <c r="T207" s="189">
        <f t="shared" si="27"/>
        <v>611.51618350914816</v>
      </c>
      <c r="U207" s="189">
        <f>Y207</f>
        <v>950.64160010244746</v>
      </c>
      <c r="V207" s="170">
        <f t="shared" si="23"/>
        <v>339.12541659329929</v>
      </c>
      <c r="W207" s="170"/>
      <c r="X207" s="170"/>
      <c r="Y207" s="173">
        <f t="shared" si="24"/>
        <v>950.64160010244746</v>
      </c>
      <c r="AA207" s="173">
        <f t="shared" si="20"/>
        <v>1137.3</v>
      </c>
      <c r="AC207" s="173" t="s">
        <v>123</v>
      </c>
      <c r="AD207" s="173">
        <v>681.29</v>
      </c>
      <c r="AH207" s="173" t="e">
        <f t="shared" si="21"/>
        <v>#N/A</v>
      </c>
      <c r="AS207" s="173" t="e">
        <f t="shared" si="22"/>
        <v>#N/A</v>
      </c>
    </row>
    <row r="208" spans="1:45" s="173" customFormat="1" ht="36" customHeight="1" x14ac:dyDescent="0.9">
      <c r="A208" s="173">
        <v>1</v>
      </c>
      <c r="B208" s="91">
        <f>SUBTOTAL(103,$A$16:A208)</f>
        <v>190</v>
      </c>
      <c r="C208" s="90" t="s">
        <v>1198</v>
      </c>
      <c r="D208" s="185" t="s">
        <v>1355</v>
      </c>
      <c r="E208" s="185"/>
      <c r="F208" s="191" t="s">
        <v>273</v>
      </c>
      <c r="G208" s="185" t="s">
        <v>311</v>
      </c>
      <c r="H208" s="185" t="s">
        <v>312</v>
      </c>
      <c r="I208" s="189">
        <v>286.8</v>
      </c>
      <c r="J208" s="189">
        <v>236.8</v>
      </c>
      <c r="K208" s="189">
        <v>236.8</v>
      </c>
      <c r="L208" s="187">
        <v>9</v>
      </c>
      <c r="M208" s="185" t="s">
        <v>271</v>
      </c>
      <c r="N208" s="185" t="s">
        <v>272</v>
      </c>
      <c r="O208" s="188" t="s">
        <v>274</v>
      </c>
      <c r="P208" s="189">
        <v>1625426.78</v>
      </c>
      <c r="Q208" s="189">
        <v>0</v>
      </c>
      <c r="R208" s="189">
        <v>0</v>
      </c>
      <c r="S208" s="189">
        <f t="shared" si="26"/>
        <v>1625426.78</v>
      </c>
      <c r="T208" s="189">
        <f t="shared" si="27"/>
        <v>5667.4573919107388</v>
      </c>
      <c r="U208" s="189">
        <f>AG208</f>
        <v>9539.9478513513495</v>
      </c>
      <c r="V208" s="170">
        <f t="shared" si="23"/>
        <v>3872.4904594406107</v>
      </c>
      <c r="W208" s="170"/>
      <c r="X208" s="170"/>
      <c r="Y208" s="173" t="e">
        <f t="shared" si="24"/>
        <v>#N/A</v>
      </c>
      <c r="AA208" s="173" t="e">
        <f t="shared" ref="AA208:AA271" si="28">VLOOKUP(C208,AC:AE,2,FALSE)</f>
        <v>#N/A</v>
      </c>
      <c r="AC208" s="173" t="s">
        <v>174</v>
      </c>
      <c r="AD208" s="173">
        <v>678.3</v>
      </c>
      <c r="AG208" s="173">
        <f>AH208*6191.24/J208</f>
        <v>9539.9478513513495</v>
      </c>
      <c r="AH208" s="173">
        <f t="shared" ref="AH208:AH271" si="29">VLOOKUP(C208,AJ:AK,2,FALSE)</f>
        <v>364.88</v>
      </c>
      <c r="AS208" s="173" t="e">
        <f t="shared" ref="AS208:AS271" si="30">VLOOKUP(C208,AU:AV,2,FALSE)</f>
        <v>#N/A</v>
      </c>
    </row>
    <row r="209" spans="1:45" s="173" customFormat="1" ht="36" customHeight="1" x14ac:dyDescent="0.9">
      <c r="A209" s="173">
        <v>1</v>
      </c>
      <c r="B209" s="91">
        <f>SUBTOTAL(103,$A$16:A209)</f>
        <v>191</v>
      </c>
      <c r="C209" s="90" t="s">
        <v>1199</v>
      </c>
      <c r="D209" s="185">
        <v>1979</v>
      </c>
      <c r="E209" s="185"/>
      <c r="F209" s="191" t="s">
        <v>273</v>
      </c>
      <c r="G209" s="185">
        <v>9</v>
      </c>
      <c r="H209" s="185">
        <v>12</v>
      </c>
      <c r="I209" s="189">
        <v>25677.4</v>
      </c>
      <c r="J209" s="189">
        <v>23071.200000000001</v>
      </c>
      <c r="K209" s="189">
        <v>22907.62</v>
      </c>
      <c r="L209" s="187">
        <v>888</v>
      </c>
      <c r="M209" s="185" t="s">
        <v>271</v>
      </c>
      <c r="N209" s="185" t="s">
        <v>275</v>
      </c>
      <c r="O209" s="188" t="s">
        <v>828</v>
      </c>
      <c r="P209" s="189">
        <v>4355063.8499999996</v>
      </c>
      <c r="Q209" s="189">
        <v>0</v>
      </c>
      <c r="R209" s="189">
        <v>0</v>
      </c>
      <c r="S209" s="189">
        <f t="shared" si="26"/>
        <v>4355063.8499999996</v>
      </c>
      <c r="T209" s="189">
        <f t="shared" si="27"/>
        <v>169.6068858217732</v>
      </c>
      <c r="U209" s="189">
        <f>AR209</f>
        <v>257.90146198602662</v>
      </c>
      <c r="V209" s="170">
        <f t="shared" si="23"/>
        <v>88.294576164253414</v>
      </c>
      <c r="W209" s="170"/>
      <c r="X209" s="170"/>
      <c r="Y209" s="173" t="e">
        <f t="shared" si="24"/>
        <v>#N/A</v>
      </c>
      <c r="AA209" s="173" t="e">
        <f t="shared" si="28"/>
        <v>#N/A</v>
      </c>
      <c r="AC209" s="173" t="s">
        <v>1618</v>
      </c>
      <c r="AD209" s="173">
        <v>172</v>
      </c>
      <c r="AH209" s="173" t="e">
        <f t="shared" si="29"/>
        <v>#N/A</v>
      </c>
      <c r="AR209" s="173">
        <f>AS209*2207413/I209</f>
        <v>257.90146198602662</v>
      </c>
      <c r="AS209" s="173">
        <f t="shared" si="30"/>
        <v>3</v>
      </c>
    </row>
    <row r="210" spans="1:45" s="173" customFormat="1" ht="36" customHeight="1" x14ac:dyDescent="0.9">
      <c r="A210" s="173">
        <v>1</v>
      </c>
      <c r="B210" s="91">
        <f>SUBTOTAL(103,$A$16:A210)</f>
        <v>192</v>
      </c>
      <c r="C210" s="90" t="s">
        <v>1200</v>
      </c>
      <c r="D210" s="185">
        <v>1949</v>
      </c>
      <c r="E210" s="185"/>
      <c r="F210" s="191" t="s">
        <v>273</v>
      </c>
      <c r="G210" s="185">
        <v>2</v>
      </c>
      <c r="H210" s="185">
        <v>1</v>
      </c>
      <c r="I210" s="189">
        <v>404.4</v>
      </c>
      <c r="J210" s="189">
        <v>347.7</v>
      </c>
      <c r="K210" s="189">
        <v>374.7</v>
      </c>
      <c r="L210" s="187">
        <v>26</v>
      </c>
      <c r="M210" s="185" t="s">
        <v>271</v>
      </c>
      <c r="N210" s="185" t="s">
        <v>275</v>
      </c>
      <c r="O210" s="188" t="s">
        <v>1327</v>
      </c>
      <c r="P210" s="189">
        <v>2299678.3200000003</v>
      </c>
      <c r="Q210" s="189">
        <v>0</v>
      </c>
      <c r="R210" s="189">
        <v>0</v>
      </c>
      <c r="S210" s="189">
        <f t="shared" si="26"/>
        <v>2299678.3200000003</v>
      </c>
      <c r="T210" s="189">
        <f t="shared" si="27"/>
        <v>5686.6427299703273</v>
      </c>
      <c r="U210" s="189">
        <f>AG210</f>
        <v>9248.5765199884954</v>
      </c>
      <c r="V210" s="170">
        <f t="shared" ref="V210:V274" si="31">U210-T210</f>
        <v>3561.9337900181681</v>
      </c>
      <c r="W210" s="170"/>
      <c r="X210" s="170"/>
      <c r="Y210" s="173" t="e">
        <f t="shared" ref="Y210:Y274" si="32">AA210*5221.8/I210</f>
        <v>#N/A</v>
      </c>
      <c r="AA210" s="173" t="e">
        <f t="shared" si="28"/>
        <v>#N/A</v>
      </c>
      <c r="AC210" s="173" t="s">
        <v>172</v>
      </c>
      <c r="AD210" s="173">
        <v>412.82</v>
      </c>
      <c r="AG210" s="173">
        <f>AH210*6191.24/J210</f>
        <v>9248.5765199884954</v>
      </c>
      <c r="AH210" s="173">
        <f t="shared" si="29"/>
        <v>519.4</v>
      </c>
      <c r="AS210" s="173" t="e">
        <f t="shared" si="30"/>
        <v>#N/A</v>
      </c>
    </row>
    <row r="211" spans="1:45" s="173" customFormat="1" ht="36" customHeight="1" x14ac:dyDescent="0.9">
      <c r="A211" s="173">
        <v>1</v>
      </c>
      <c r="B211" s="91">
        <f>SUBTOTAL(103,$A$16:A211)</f>
        <v>193</v>
      </c>
      <c r="C211" s="90" t="s">
        <v>1201</v>
      </c>
      <c r="D211" s="185">
        <v>1958</v>
      </c>
      <c r="E211" s="185"/>
      <c r="F211" s="191" t="s">
        <v>273</v>
      </c>
      <c r="G211" s="185">
        <v>2</v>
      </c>
      <c r="H211" s="185">
        <v>1</v>
      </c>
      <c r="I211" s="189">
        <v>294.7</v>
      </c>
      <c r="J211" s="189">
        <v>278</v>
      </c>
      <c r="K211" s="189">
        <v>278</v>
      </c>
      <c r="L211" s="187">
        <v>13</v>
      </c>
      <c r="M211" s="185" t="s">
        <v>271</v>
      </c>
      <c r="N211" s="185" t="s">
        <v>275</v>
      </c>
      <c r="O211" s="188" t="s">
        <v>1327</v>
      </c>
      <c r="P211" s="189">
        <v>2329359.0300000003</v>
      </c>
      <c r="Q211" s="189">
        <v>0</v>
      </c>
      <c r="R211" s="189">
        <v>0</v>
      </c>
      <c r="S211" s="189">
        <f t="shared" si="26"/>
        <v>2329359.0300000003</v>
      </c>
      <c r="T211" s="189">
        <f t="shared" si="27"/>
        <v>7904.170444519852</v>
      </c>
      <c r="U211" s="189">
        <f>AG211</f>
        <v>9107.1358748201437</v>
      </c>
      <c r="V211" s="170">
        <f t="shared" si="31"/>
        <v>1202.9654303002917</v>
      </c>
      <c r="W211" s="170"/>
      <c r="X211" s="170"/>
      <c r="Y211" s="173" t="e">
        <f t="shared" si="32"/>
        <v>#N/A</v>
      </c>
      <c r="AA211" s="173" t="e">
        <f t="shared" si="28"/>
        <v>#N/A</v>
      </c>
      <c r="AC211" s="173" t="s">
        <v>171</v>
      </c>
      <c r="AD211" s="173">
        <v>336.14</v>
      </c>
      <c r="AG211" s="173">
        <f>AH211*6191.24/J211</f>
        <v>9107.1358748201437</v>
      </c>
      <c r="AH211" s="173">
        <f t="shared" si="29"/>
        <v>408.93</v>
      </c>
      <c r="AS211" s="173" t="e">
        <f t="shared" si="30"/>
        <v>#N/A</v>
      </c>
    </row>
    <row r="212" spans="1:45" s="173" customFormat="1" ht="36" customHeight="1" x14ac:dyDescent="0.9">
      <c r="A212" s="173">
        <v>1</v>
      </c>
      <c r="B212" s="91">
        <f>SUBTOTAL(103,$A$16:A212)</f>
        <v>194</v>
      </c>
      <c r="C212" s="90" t="s">
        <v>1202</v>
      </c>
      <c r="D212" s="185">
        <v>1993</v>
      </c>
      <c r="E212" s="185"/>
      <c r="F212" s="191" t="s">
        <v>326</v>
      </c>
      <c r="G212" s="185">
        <v>9</v>
      </c>
      <c r="H212" s="185">
        <v>4</v>
      </c>
      <c r="I212" s="189">
        <v>10873.5</v>
      </c>
      <c r="J212" s="189">
        <v>7661.3</v>
      </c>
      <c r="K212" s="189">
        <v>7661.3</v>
      </c>
      <c r="L212" s="187">
        <v>328</v>
      </c>
      <c r="M212" s="185" t="s">
        <v>271</v>
      </c>
      <c r="N212" s="185" t="s">
        <v>275</v>
      </c>
      <c r="O212" s="188" t="s">
        <v>1374</v>
      </c>
      <c r="P212" s="189">
        <v>6356844.0800000001</v>
      </c>
      <c r="Q212" s="189">
        <v>0</v>
      </c>
      <c r="R212" s="189">
        <v>0</v>
      </c>
      <c r="S212" s="189">
        <f t="shared" si="26"/>
        <v>6356844.0800000001</v>
      </c>
      <c r="T212" s="189">
        <f t="shared" si="27"/>
        <v>584.61802363544393</v>
      </c>
      <c r="U212" s="189">
        <f>AR212</f>
        <v>812.03402768197907</v>
      </c>
      <c r="V212" s="170">
        <f t="shared" si="31"/>
        <v>227.41600404653514</v>
      </c>
      <c r="W212" s="170"/>
      <c r="X212" s="170"/>
      <c r="Y212" s="173" t="e">
        <f t="shared" si="32"/>
        <v>#N/A</v>
      </c>
      <c r="AA212" s="173" t="e">
        <f t="shared" si="28"/>
        <v>#N/A</v>
      </c>
      <c r="AC212" s="173" t="s">
        <v>1258</v>
      </c>
      <c r="AD212" s="173">
        <v>542.66</v>
      </c>
      <c r="AH212" s="173" t="e">
        <f t="shared" si="29"/>
        <v>#N/A</v>
      </c>
      <c r="AR212" s="173">
        <f>AS212*2207413/I212</f>
        <v>812.03402768197907</v>
      </c>
      <c r="AS212" s="173">
        <f t="shared" si="30"/>
        <v>4</v>
      </c>
    </row>
    <row r="213" spans="1:45" s="173" customFormat="1" ht="36" customHeight="1" x14ac:dyDescent="0.9">
      <c r="A213" s="173">
        <v>1</v>
      </c>
      <c r="B213" s="91">
        <f>SUBTOTAL(103,$A$16:A213)</f>
        <v>195</v>
      </c>
      <c r="C213" s="90" t="s">
        <v>1306</v>
      </c>
      <c r="D213" s="185">
        <v>1931</v>
      </c>
      <c r="E213" s="185"/>
      <c r="F213" s="191" t="s">
        <v>273</v>
      </c>
      <c r="G213" s="185">
        <v>4</v>
      </c>
      <c r="H213" s="185">
        <v>6</v>
      </c>
      <c r="I213" s="189">
        <v>4408.1000000000004</v>
      </c>
      <c r="J213" s="189">
        <v>3565.39</v>
      </c>
      <c r="K213" s="189">
        <v>2791.19</v>
      </c>
      <c r="L213" s="187">
        <v>109</v>
      </c>
      <c r="M213" s="185" t="s">
        <v>271</v>
      </c>
      <c r="N213" s="185" t="s">
        <v>275</v>
      </c>
      <c r="O213" s="188" t="s">
        <v>1383</v>
      </c>
      <c r="P213" s="189">
        <v>6417017.8600000003</v>
      </c>
      <c r="Q213" s="189">
        <v>0</v>
      </c>
      <c r="R213" s="189">
        <v>0</v>
      </c>
      <c r="S213" s="189">
        <f t="shared" si="26"/>
        <v>6417017.8600000003</v>
      </c>
      <c r="T213" s="189">
        <f t="shared" si="27"/>
        <v>1455.73327737574</v>
      </c>
      <c r="U213" s="189">
        <f>Y213</f>
        <v>1834.6842453664844</v>
      </c>
      <c r="V213" s="170">
        <f t="shared" si="31"/>
        <v>378.9509679907444</v>
      </c>
      <c r="W213" s="170"/>
      <c r="X213" s="170"/>
      <c r="Y213" s="173">
        <f t="shared" si="32"/>
        <v>1834.6842453664844</v>
      </c>
      <c r="AA213" s="173">
        <f t="shared" si="28"/>
        <v>1548.79</v>
      </c>
      <c r="AC213" s="173" t="s">
        <v>75</v>
      </c>
      <c r="AD213" s="173">
        <v>625</v>
      </c>
      <c r="AH213" s="173" t="e">
        <f t="shared" si="29"/>
        <v>#N/A</v>
      </c>
      <c r="AS213" s="173" t="e">
        <f t="shared" si="30"/>
        <v>#N/A</v>
      </c>
    </row>
    <row r="214" spans="1:45" s="173" customFormat="1" ht="36" customHeight="1" x14ac:dyDescent="0.9">
      <c r="A214" s="173">
        <v>1</v>
      </c>
      <c r="B214" s="91">
        <f>SUBTOTAL(103,$A$16:A214)</f>
        <v>196</v>
      </c>
      <c r="C214" s="90" t="s">
        <v>1398</v>
      </c>
      <c r="D214" s="185">
        <v>1986</v>
      </c>
      <c r="E214" s="185"/>
      <c r="F214" s="191" t="s">
        <v>273</v>
      </c>
      <c r="G214" s="185">
        <v>9</v>
      </c>
      <c r="H214" s="185">
        <v>9</v>
      </c>
      <c r="I214" s="189">
        <v>28272.12</v>
      </c>
      <c r="J214" s="189">
        <v>23513.1</v>
      </c>
      <c r="K214" s="189">
        <v>20084.3</v>
      </c>
      <c r="L214" s="187">
        <v>668</v>
      </c>
      <c r="M214" s="185" t="s">
        <v>271</v>
      </c>
      <c r="N214" s="185" t="s">
        <v>349</v>
      </c>
      <c r="O214" s="188" t="s">
        <v>1419</v>
      </c>
      <c r="P214" s="189">
        <v>13083489.59</v>
      </c>
      <c r="Q214" s="189">
        <v>0</v>
      </c>
      <c r="R214" s="189">
        <v>0</v>
      </c>
      <c r="S214" s="189">
        <f t="shared" si="26"/>
        <v>13083489.59</v>
      </c>
      <c r="T214" s="189">
        <f t="shared" si="27"/>
        <v>462.77002184484223</v>
      </c>
      <c r="U214" s="189">
        <f t="shared" ref="U214:U222" si="33">AR214</f>
        <v>702.69640196773366</v>
      </c>
      <c r="V214" s="170">
        <f t="shared" si="31"/>
        <v>239.92638012289143</v>
      </c>
      <c r="W214" s="170"/>
      <c r="X214" s="170"/>
      <c r="Y214" s="173" t="e">
        <f t="shared" si="32"/>
        <v>#N/A</v>
      </c>
      <c r="AA214" s="173" t="e">
        <f t="shared" si="28"/>
        <v>#N/A</v>
      </c>
      <c r="AC214" s="173" t="s">
        <v>74</v>
      </c>
      <c r="AD214" s="173">
        <v>504</v>
      </c>
      <c r="AH214" s="173" t="e">
        <f t="shared" si="29"/>
        <v>#N/A</v>
      </c>
      <c r="AR214" s="173">
        <f t="shared" ref="AR214:AR223" si="34">AS214*2207413/I214</f>
        <v>702.69640196773366</v>
      </c>
      <c r="AS214" s="173">
        <f t="shared" si="30"/>
        <v>9</v>
      </c>
    </row>
    <row r="215" spans="1:45" s="173" customFormat="1" ht="36" customHeight="1" x14ac:dyDescent="0.9">
      <c r="A215" s="173">
        <v>1</v>
      </c>
      <c r="B215" s="91">
        <f>SUBTOTAL(103,$A$16:A215)</f>
        <v>197</v>
      </c>
      <c r="C215" s="90" t="s">
        <v>1414</v>
      </c>
      <c r="D215" s="185">
        <v>1986</v>
      </c>
      <c r="E215" s="185"/>
      <c r="F215" s="191" t="s">
        <v>326</v>
      </c>
      <c r="G215" s="185">
        <v>9</v>
      </c>
      <c r="H215" s="185">
        <v>3</v>
      </c>
      <c r="I215" s="189">
        <v>7745.7</v>
      </c>
      <c r="J215" s="189">
        <v>7042.6</v>
      </c>
      <c r="K215" s="189">
        <v>5847.8</v>
      </c>
      <c r="L215" s="187">
        <v>220</v>
      </c>
      <c r="M215" s="185" t="s">
        <v>271</v>
      </c>
      <c r="N215" s="185" t="s">
        <v>275</v>
      </c>
      <c r="O215" s="188" t="s">
        <v>1420</v>
      </c>
      <c r="P215" s="189">
        <v>5478127.7400000002</v>
      </c>
      <c r="Q215" s="189">
        <v>0</v>
      </c>
      <c r="R215" s="189">
        <v>0</v>
      </c>
      <c r="S215" s="189">
        <f t="shared" si="26"/>
        <v>5478127.7400000002</v>
      </c>
      <c r="T215" s="189">
        <f t="shared" si="27"/>
        <v>707.24760060420624</v>
      </c>
      <c r="U215" s="189">
        <f t="shared" si="33"/>
        <v>854.95681474882838</v>
      </c>
      <c r="V215" s="170">
        <f t="shared" si="31"/>
        <v>147.70921414462214</v>
      </c>
      <c r="W215" s="170"/>
      <c r="X215" s="170"/>
      <c r="Y215" s="173" t="e">
        <f t="shared" si="32"/>
        <v>#N/A</v>
      </c>
      <c r="AA215" s="173" t="e">
        <f t="shared" si="28"/>
        <v>#N/A</v>
      </c>
      <c r="AC215" s="173" t="s">
        <v>76</v>
      </c>
      <c r="AD215" s="173">
        <v>954</v>
      </c>
      <c r="AH215" s="173" t="e">
        <f t="shared" si="29"/>
        <v>#N/A</v>
      </c>
      <c r="AR215" s="173">
        <f t="shared" si="34"/>
        <v>854.95681474882838</v>
      </c>
      <c r="AS215" s="173">
        <f t="shared" si="30"/>
        <v>3</v>
      </c>
    </row>
    <row r="216" spans="1:45" s="173" customFormat="1" ht="36" customHeight="1" x14ac:dyDescent="0.9">
      <c r="A216" s="173">
        <v>1</v>
      </c>
      <c r="B216" s="91">
        <f>SUBTOTAL(103,$A$16:A216)</f>
        <v>198</v>
      </c>
      <c r="C216" s="90" t="s">
        <v>1415</v>
      </c>
      <c r="D216" s="185">
        <v>1986</v>
      </c>
      <c r="E216" s="185"/>
      <c r="F216" s="191" t="s">
        <v>326</v>
      </c>
      <c r="G216" s="185">
        <v>9</v>
      </c>
      <c r="H216" s="185">
        <v>4</v>
      </c>
      <c r="I216" s="189">
        <v>8861.6</v>
      </c>
      <c r="J216" s="189">
        <v>7955.2</v>
      </c>
      <c r="K216" s="189">
        <v>7895.7</v>
      </c>
      <c r="L216" s="187">
        <v>295</v>
      </c>
      <c r="M216" s="185" t="s">
        <v>271</v>
      </c>
      <c r="N216" s="185" t="s">
        <v>305</v>
      </c>
      <c r="O216" s="188" t="s">
        <v>1421</v>
      </c>
      <c r="P216" s="189">
        <v>7310851.2000000002</v>
      </c>
      <c r="Q216" s="189">
        <v>0</v>
      </c>
      <c r="R216" s="189">
        <v>0</v>
      </c>
      <c r="S216" s="189">
        <f t="shared" si="26"/>
        <v>7310851.2000000002</v>
      </c>
      <c r="T216" s="189">
        <f t="shared" si="27"/>
        <v>825.00352080888331</v>
      </c>
      <c r="U216" s="189">
        <f t="shared" si="33"/>
        <v>996.3947819806807</v>
      </c>
      <c r="V216" s="170">
        <f t="shared" si="31"/>
        <v>171.3912611717974</v>
      </c>
      <c r="W216" s="170"/>
      <c r="X216" s="170"/>
      <c r="Y216" s="173" t="e">
        <f t="shared" si="32"/>
        <v>#N/A</v>
      </c>
      <c r="AA216" s="173" t="e">
        <f t="shared" si="28"/>
        <v>#N/A</v>
      </c>
      <c r="AC216" s="173" t="s">
        <v>1261</v>
      </c>
      <c r="AD216" s="173">
        <v>975.2</v>
      </c>
      <c r="AH216" s="173" t="e">
        <f t="shared" si="29"/>
        <v>#N/A</v>
      </c>
      <c r="AR216" s="173">
        <f t="shared" si="34"/>
        <v>996.3947819806807</v>
      </c>
      <c r="AS216" s="173">
        <f t="shared" si="30"/>
        <v>4</v>
      </c>
    </row>
    <row r="217" spans="1:45" s="173" customFormat="1" ht="36" customHeight="1" x14ac:dyDescent="0.9">
      <c r="A217" s="173">
        <v>1</v>
      </c>
      <c r="B217" s="91">
        <f>SUBTOTAL(103,$A$16:A217)</f>
        <v>199</v>
      </c>
      <c r="C217" s="90" t="s">
        <v>1416</v>
      </c>
      <c r="D217" s="185">
        <v>1988</v>
      </c>
      <c r="E217" s="185"/>
      <c r="F217" s="191" t="s">
        <v>326</v>
      </c>
      <c r="G217" s="185">
        <v>9</v>
      </c>
      <c r="H217" s="185">
        <v>3</v>
      </c>
      <c r="I217" s="189">
        <v>6529.9</v>
      </c>
      <c r="J217" s="189">
        <v>5819.3</v>
      </c>
      <c r="K217" s="189">
        <v>5819.3</v>
      </c>
      <c r="L217" s="187">
        <v>281</v>
      </c>
      <c r="M217" s="185" t="s">
        <v>271</v>
      </c>
      <c r="N217" s="185" t="s">
        <v>275</v>
      </c>
      <c r="O217" s="188" t="s">
        <v>1422</v>
      </c>
      <c r="P217" s="189">
        <v>5327196</v>
      </c>
      <c r="Q217" s="189">
        <v>0</v>
      </c>
      <c r="R217" s="189">
        <v>0</v>
      </c>
      <c r="S217" s="189">
        <f t="shared" si="26"/>
        <v>5327196</v>
      </c>
      <c r="T217" s="189">
        <f t="shared" si="27"/>
        <v>815.81586241749494</v>
      </c>
      <c r="U217" s="189">
        <f t="shared" si="33"/>
        <v>1014.1409516225364</v>
      </c>
      <c r="V217" s="170">
        <f t="shared" si="31"/>
        <v>198.32508920504142</v>
      </c>
      <c r="W217" s="170"/>
      <c r="X217" s="170"/>
      <c r="Y217" s="173" t="e">
        <f t="shared" si="32"/>
        <v>#N/A</v>
      </c>
      <c r="AA217" s="173" t="e">
        <f t="shared" si="28"/>
        <v>#N/A</v>
      </c>
      <c r="AC217" s="173" t="s">
        <v>1262</v>
      </c>
      <c r="AD217" s="173">
        <v>600</v>
      </c>
      <c r="AH217" s="173" t="e">
        <f t="shared" si="29"/>
        <v>#N/A</v>
      </c>
      <c r="AR217" s="173">
        <f t="shared" si="34"/>
        <v>1014.1409516225364</v>
      </c>
      <c r="AS217" s="173">
        <f t="shared" si="30"/>
        <v>3</v>
      </c>
    </row>
    <row r="218" spans="1:45" s="173" customFormat="1" ht="36" customHeight="1" x14ac:dyDescent="0.9">
      <c r="A218" s="173">
        <v>1</v>
      </c>
      <c r="B218" s="91">
        <f>SUBTOTAL(103,$A$16:A218)</f>
        <v>200</v>
      </c>
      <c r="C218" s="90" t="s">
        <v>1417</v>
      </c>
      <c r="D218" s="185">
        <v>1986</v>
      </c>
      <c r="E218" s="185"/>
      <c r="F218" s="191" t="s">
        <v>326</v>
      </c>
      <c r="G218" s="185">
        <v>9</v>
      </c>
      <c r="H218" s="185">
        <v>4</v>
      </c>
      <c r="I218" s="189">
        <v>9402.14</v>
      </c>
      <c r="J218" s="189">
        <v>7377.1</v>
      </c>
      <c r="K218" s="189">
        <v>6958.4</v>
      </c>
      <c r="L218" s="187">
        <v>323</v>
      </c>
      <c r="M218" s="185" t="s">
        <v>271</v>
      </c>
      <c r="N218" s="185" t="s">
        <v>275</v>
      </c>
      <c r="O218" s="188" t="s">
        <v>827</v>
      </c>
      <c r="P218" s="189">
        <v>7367915.9199999999</v>
      </c>
      <c r="Q218" s="189">
        <v>0</v>
      </c>
      <c r="R218" s="189">
        <v>0</v>
      </c>
      <c r="S218" s="189">
        <f t="shared" si="26"/>
        <v>7367915.9199999999</v>
      </c>
      <c r="T218" s="189">
        <f t="shared" si="27"/>
        <v>783.64243884902805</v>
      </c>
      <c r="U218" s="189">
        <f t="shared" si="33"/>
        <v>939.11088326700099</v>
      </c>
      <c r="V218" s="170">
        <f t="shared" si="31"/>
        <v>155.46844441797293</v>
      </c>
      <c r="W218" s="170"/>
      <c r="X218" s="170"/>
      <c r="Y218" s="173" t="e">
        <f t="shared" si="32"/>
        <v>#N/A</v>
      </c>
      <c r="AA218" s="173" t="e">
        <f t="shared" si="28"/>
        <v>#N/A</v>
      </c>
      <c r="AC218" s="173" t="s">
        <v>77</v>
      </c>
      <c r="AD218" s="173">
        <v>598</v>
      </c>
      <c r="AH218" s="173" t="e">
        <f t="shared" si="29"/>
        <v>#N/A</v>
      </c>
      <c r="AR218" s="173">
        <f t="shared" si="34"/>
        <v>939.11088326700099</v>
      </c>
      <c r="AS218" s="173">
        <f t="shared" si="30"/>
        <v>4</v>
      </c>
    </row>
    <row r="219" spans="1:45" s="173" customFormat="1" ht="36" customHeight="1" x14ac:dyDescent="0.9">
      <c r="A219" s="173">
        <v>1</v>
      </c>
      <c r="B219" s="91">
        <f>SUBTOTAL(103,$A$16:A219)</f>
        <v>201</v>
      </c>
      <c r="C219" s="90" t="s">
        <v>1418</v>
      </c>
      <c r="D219" s="185">
        <v>1987</v>
      </c>
      <c r="E219" s="185"/>
      <c r="F219" s="191" t="s">
        <v>273</v>
      </c>
      <c r="G219" s="185">
        <v>9</v>
      </c>
      <c r="H219" s="185">
        <v>3</v>
      </c>
      <c r="I219" s="189">
        <v>8041.69</v>
      </c>
      <c r="J219" s="189">
        <v>5941.7</v>
      </c>
      <c r="K219" s="189">
        <v>5297.4</v>
      </c>
      <c r="L219" s="187">
        <v>206</v>
      </c>
      <c r="M219" s="185" t="s">
        <v>271</v>
      </c>
      <c r="N219" s="185" t="s">
        <v>275</v>
      </c>
      <c r="O219" s="188" t="s">
        <v>830</v>
      </c>
      <c r="P219" s="189">
        <v>5462413.6200000001</v>
      </c>
      <c r="Q219" s="189">
        <v>0</v>
      </c>
      <c r="R219" s="189">
        <v>0</v>
      </c>
      <c r="S219" s="189">
        <f t="shared" si="26"/>
        <v>5462413.6200000001</v>
      </c>
      <c r="T219" s="189">
        <f t="shared" si="27"/>
        <v>679.26189892920524</v>
      </c>
      <c r="U219" s="189">
        <f t="shared" si="33"/>
        <v>823.488470707028</v>
      </c>
      <c r="V219" s="170">
        <f t="shared" si="31"/>
        <v>144.22657177782276</v>
      </c>
      <c r="W219" s="170"/>
      <c r="X219" s="170"/>
      <c r="Y219" s="173" t="e">
        <f t="shared" si="32"/>
        <v>#N/A</v>
      </c>
      <c r="AA219" s="173" t="e">
        <f t="shared" si="28"/>
        <v>#N/A</v>
      </c>
      <c r="AC219" s="173" t="s">
        <v>108</v>
      </c>
      <c r="AD219" s="173">
        <v>596.4</v>
      </c>
      <c r="AH219" s="173" t="e">
        <f t="shared" si="29"/>
        <v>#N/A</v>
      </c>
      <c r="AR219" s="173">
        <f t="shared" si="34"/>
        <v>823.488470707028</v>
      </c>
      <c r="AS219" s="173">
        <f t="shared" si="30"/>
        <v>3</v>
      </c>
    </row>
    <row r="220" spans="1:45" s="173" customFormat="1" ht="36" customHeight="1" x14ac:dyDescent="0.9">
      <c r="A220" s="173">
        <v>1</v>
      </c>
      <c r="B220" s="91">
        <f>SUBTOTAL(103,$A$16:A220)</f>
        <v>202</v>
      </c>
      <c r="C220" s="90" t="s">
        <v>1581</v>
      </c>
      <c r="D220" s="185">
        <v>1986</v>
      </c>
      <c r="E220" s="185"/>
      <c r="F220" s="191" t="s">
        <v>273</v>
      </c>
      <c r="G220" s="185">
        <v>9</v>
      </c>
      <c r="H220" s="185">
        <v>1</v>
      </c>
      <c r="I220" s="189">
        <v>6210.09</v>
      </c>
      <c r="J220" s="189">
        <v>3555.69</v>
      </c>
      <c r="K220" s="189">
        <v>3353.49</v>
      </c>
      <c r="L220" s="187">
        <v>294</v>
      </c>
      <c r="M220" s="185" t="s">
        <v>271</v>
      </c>
      <c r="N220" s="185" t="s">
        <v>275</v>
      </c>
      <c r="O220" s="188" t="s">
        <v>1420</v>
      </c>
      <c r="P220" s="189">
        <v>1452147.29</v>
      </c>
      <c r="Q220" s="189">
        <v>0</v>
      </c>
      <c r="R220" s="189">
        <v>0</v>
      </c>
      <c r="S220" s="189">
        <f>P220-R220-Q220</f>
        <v>1452147.29</v>
      </c>
      <c r="T220" s="189">
        <f t="shared" si="27"/>
        <v>233.83675437876101</v>
      </c>
      <c r="U220" s="189">
        <f t="shared" si="33"/>
        <v>355.45587906133403</v>
      </c>
      <c r="V220" s="170">
        <f t="shared" si="31"/>
        <v>121.61912468257302</v>
      </c>
      <c r="W220" s="170"/>
      <c r="X220" s="170"/>
      <c r="Y220" s="173" t="e">
        <f t="shared" si="32"/>
        <v>#N/A</v>
      </c>
      <c r="AA220" s="173" t="e">
        <f t="shared" si="28"/>
        <v>#N/A</v>
      </c>
      <c r="AC220" s="173" t="s">
        <v>110</v>
      </c>
      <c r="AD220" s="173">
        <v>936.1</v>
      </c>
      <c r="AH220" s="173" t="e">
        <f t="shared" si="29"/>
        <v>#N/A</v>
      </c>
      <c r="AR220" s="173">
        <f t="shared" si="34"/>
        <v>355.45587906133403</v>
      </c>
      <c r="AS220" s="173">
        <f t="shared" si="30"/>
        <v>1</v>
      </c>
    </row>
    <row r="221" spans="1:45" s="173" customFormat="1" ht="36" customHeight="1" x14ac:dyDescent="0.9">
      <c r="A221" s="173">
        <v>1</v>
      </c>
      <c r="B221" s="91">
        <f>SUBTOTAL(103,$A$16:A221)</f>
        <v>203</v>
      </c>
      <c r="C221" s="90" t="s">
        <v>1582</v>
      </c>
      <c r="D221" s="185">
        <v>1984</v>
      </c>
      <c r="E221" s="185"/>
      <c r="F221" s="191" t="s">
        <v>326</v>
      </c>
      <c r="G221" s="185">
        <v>9</v>
      </c>
      <c r="H221" s="185">
        <v>2</v>
      </c>
      <c r="I221" s="189">
        <v>4373.8</v>
      </c>
      <c r="J221" s="189">
        <v>3897.5</v>
      </c>
      <c r="K221" s="189">
        <v>3897.5</v>
      </c>
      <c r="L221" s="187">
        <v>156</v>
      </c>
      <c r="M221" s="185" t="s">
        <v>271</v>
      </c>
      <c r="N221" s="185" t="s">
        <v>275</v>
      </c>
      <c r="O221" s="188" t="s">
        <v>1420</v>
      </c>
      <c r="P221" s="189">
        <v>2915220.6</v>
      </c>
      <c r="Q221" s="189">
        <v>0</v>
      </c>
      <c r="R221" s="189">
        <v>0</v>
      </c>
      <c r="S221" s="189">
        <f>P221-R221-Q221</f>
        <v>2915220.6</v>
      </c>
      <c r="T221" s="189">
        <f t="shared" si="27"/>
        <v>666.51895377017695</v>
      </c>
      <c r="U221" s="189">
        <f t="shared" si="33"/>
        <v>1009.3799442132699</v>
      </c>
      <c r="V221" s="170">
        <f t="shared" si="31"/>
        <v>342.86099044309299</v>
      </c>
      <c r="W221" s="170"/>
      <c r="X221" s="170"/>
      <c r="Y221" s="173" t="e">
        <f t="shared" si="32"/>
        <v>#N/A</v>
      </c>
      <c r="AA221" s="173" t="e">
        <f t="shared" si="28"/>
        <v>#N/A</v>
      </c>
      <c r="AC221" s="173" t="s">
        <v>1264</v>
      </c>
      <c r="AD221" s="173">
        <v>807.4</v>
      </c>
      <c r="AH221" s="173" t="e">
        <f t="shared" si="29"/>
        <v>#N/A</v>
      </c>
      <c r="AR221" s="173">
        <f t="shared" si="34"/>
        <v>1009.3799442132699</v>
      </c>
      <c r="AS221" s="173">
        <f t="shared" si="30"/>
        <v>2</v>
      </c>
    </row>
    <row r="222" spans="1:45" s="173" customFormat="1" ht="36" customHeight="1" x14ac:dyDescent="0.9">
      <c r="A222" s="173">
        <v>1</v>
      </c>
      <c r="B222" s="91">
        <f>SUBTOTAL(103,$A$16:A222)</f>
        <v>204</v>
      </c>
      <c r="C222" s="90" t="s">
        <v>1583</v>
      </c>
      <c r="D222" s="185">
        <v>1984</v>
      </c>
      <c r="E222" s="185"/>
      <c r="F222" s="191" t="s">
        <v>326</v>
      </c>
      <c r="G222" s="185">
        <v>9</v>
      </c>
      <c r="H222" s="185">
        <v>3</v>
      </c>
      <c r="I222" s="189">
        <v>7442.2</v>
      </c>
      <c r="J222" s="189">
        <v>5845.6</v>
      </c>
      <c r="K222" s="189">
        <v>5845.6</v>
      </c>
      <c r="L222" s="187">
        <v>233</v>
      </c>
      <c r="M222" s="185" t="s">
        <v>271</v>
      </c>
      <c r="N222" s="185" t="s">
        <v>275</v>
      </c>
      <c r="O222" s="188" t="s">
        <v>1622</v>
      </c>
      <c r="P222" s="189">
        <v>4354761.09</v>
      </c>
      <c r="Q222" s="189">
        <v>0</v>
      </c>
      <c r="R222" s="189">
        <v>0</v>
      </c>
      <c r="S222" s="189">
        <f>P222-R222-Q222</f>
        <v>4354761.09</v>
      </c>
      <c r="T222" s="189">
        <f t="shared" si="27"/>
        <v>585.14432425895563</v>
      </c>
      <c r="U222" s="189">
        <f t="shared" si="33"/>
        <v>889.82276746123455</v>
      </c>
      <c r="V222" s="170">
        <f t="shared" si="31"/>
        <v>304.67844320227891</v>
      </c>
      <c r="W222" s="170"/>
      <c r="X222" s="170"/>
      <c r="Y222" s="173" t="e">
        <f t="shared" si="32"/>
        <v>#N/A</v>
      </c>
      <c r="AA222" s="173" t="e">
        <f t="shared" si="28"/>
        <v>#N/A</v>
      </c>
      <c r="AC222" s="173" t="s">
        <v>1266</v>
      </c>
      <c r="AD222" s="173">
        <v>335</v>
      </c>
      <c r="AH222" s="173" t="e">
        <f t="shared" si="29"/>
        <v>#N/A</v>
      </c>
      <c r="AR222" s="173">
        <f t="shared" si="34"/>
        <v>889.82276746123455</v>
      </c>
      <c r="AS222" s="173">
        <f t="shared" si="30"/>
        <v>3</v>
      </c>
    </row>
    <row r="223" spans="1:45" s="173" customFormat="1" ht="36" customHeight="1" x14ac:dyDescent="0.9">
      <c r="A223" s="173">
        <v>1</v>
      </c>
      <c r="B223" s="91">
        <f>SUBTOTAL(103,$A$16:A223)</f>
        <v>205</v>
      </c>
      <c r="C223" s="90" t="s">
        <v>1719</v>
      </c>
      <c r="D223" s="185">
        <v>1955</v>
      </c>
      <c r="E223" s="185"/>
      <c r="F223" s="191" t="s">
        <v>273</v>
      </c>
      <c r="G223" s="185">
        <v>3</v>
      </c>
      <c r="H223" s="185">
        <v>4</v>
      </c>
      <c r="I223" s="189">
        <v>2958.2</v>
      </c>
      <c r="J223" s="189">
        <v>1836.6</v>
      </c>
      <c r="K223" s="189">
        <v>1702.7</v>
      </c>
      <c r="L223" s="187">
        <v>73</v>
      </c>
      <c r="M223" s="185" t="s">
        <v>271</v>
      </c>
      <c r="N223" s="185" t="s">
        <v>275</v>
      </c>
      <c r="O223" s="188" t="s">
        <v>1327</v>
      </c>
      <c r="P223" s="189">
        <v>213150</v>
      </c>
      <c r="Q223" s="189">
        <v>0</v>
      </c>
      <c r="R223" s="189">
        <v>0</v>
      </c>
      <c r="S223" s="189">
        <f>P223-R223-Q223</f>
        <v>213150</v>
      </c>
      <c r="T223" s="189">
        <f>P223/I223</f>
        <v>72.05395172740181</v>
      </c>
      <c r="U223" s="189">
        <v>703.11</v>
      </c>
      <c r="V223" s="170">
        <f t="shared" si="31"/>
        <v>631.05604827259822</v>
      </c>
      <c r="W223" s="170"/>
      <c r="X223" s="170"/>
      <c r="Y223" s="173" t="e">
        <f t="shared" si="32"/>
        <v>#N/A</v>
      </c>
      <c r="AA223" s="173" t="e">
        <f t="shared" si="28"/>
        <v>#N/A</v>
      </c>
      <c r="AC223" s="173" t="s">
        <v>1266</v>
      </c>
      <c r="AD223" s="173">
        <v>335</v>
      </c>
      <c r="AH223" s="173" t="e">
        <f t="shared" si="29"/>
        <v>#N/A</v>
      </c>
      <c r="AR223" s="173" t="e">
        <f t="shared" si="34"/>
        <v>#N/A</v>
      </c>
      <c r="AS223" s="173" t="e">
        <f t="shared" si="30"/>
        <v>#N/A</v>
      </c>
    </row>
    <row r="224" spans="1:45" s="173" customFormat="1" ht="36" customHeight="1" x14ac:dyDescent="0.9">
      <c r="B224" s="90" t="s">
        <v>783</v>
      </c>
      <c r="C224" s="192"/>
      <c r="D224" s="185" t="s">
        <v>915</v>
      </c>
      <c r="E224" s="185" t="s">
        <v>915</v>
      </c>
      <c r="F224" s="185" t="s">
        <v>915</v>
      </c>
      <c r="G224" s="185" t="s">
        <v>915</v>
      </c>
      <c r="H224" s="185" t="s">
        <v>915</v>
      </c>
      <c r="I224" s="186">
        <f>SUM(I225:I230)</f>
        <v>42084.039999999994</v>
      </c>
      <c r="J224" s="186">
        <f>SUM(J225:J230)</f>
        <v>37181.1</v>
      </c>
      <c r="K224" s="186">
        <f>SUM(K225:K230)</f>
        <v>32818.75</v>
      </c>
      <c r="L224" s="187">
        <f>SUM(L225:L230)</f>
        <v>1883</v>
      </c>
      <c r="M224" s="185" t="s">
        <v>915</v>
      </c>
      <c r="N224" s="185" t="s">
        <v>915</v>
      </c>
      <c r="O224" s="188" t="s">
        <v>915</v>
      </c>
      <c r="P224" s="186">
        <v>52684989.379999995</v>
      </c>
      <c r="Q224" s="186">
        <f>SUM(Q225:Q230)</f>
        <v>0</v>
      </c>
      <c r="R224" s="186">
        <f>SUM(R225:R230)</f>
        <v>0</v>
      </c>
      <c r="S224" s="186">
        <f>SUM(S225:S230)</f>
        <v>52684989.379999995</v>
      </c>
      <c r="T224" s="189">
        <f t="shared" si="27"/>
        <v>1251.8995177269103</v>
      </c>
      <c r="U224" s="189">
        <f>MAX(U225:U230)</f>
        <v>4905.3762952448551</v>
      </c>
      <c r="V224" s="170">
        <f t="shared" si="31"/>
        <v>3653.4767775179448</v>
      </c>
      <c r="W224" s="170"/>
      <c r="X224" s="170"/>
      <c r="Y224" s="173" t="e">
        <f t="shared" si="32"/>
        <v>#N/A</v>
      </c>
      <c r="AA224" s="173" t="e">
        <f t="shared" si="28"/>
        <v>#N/A</v>
      </c>
      <c r="AC224" s="173" t="s">
        <v>40</v>
      </c>
      <c r="AD224" s="173">
        <v>1110</v>
      </c>
      <c r="AH224" s="173" t="e">
        <f t="shared" si="29"/>
        <v>#N/A</v>
      </c>
      <c r="AS224" s="173" t="e">
        <f t="shared" si="30"/>
        <v>#N/A</v>
      </c>
    </row>
    <row r="225" spans="1:45" s="173" customFormat="1" ht="36" customHeight="1" x14ac:dyDescent="0.9">
      <c r="A225" s="173">
        <v>1</v>
      </c>
      <c r="B225" s="91">
        <f>SUBTOTAL(103,$A$16:A225)</f>
        <v>206</v>
      </c>
      <c r="C225" s="90" t="s">
        <v>389</v>
      </c>
      <c r="D225" s="185">
        <v>1976</v>
      </c>
      <c r="E225" s="185">
        <v>2016</v>
      </c>
      <c r="F225" s="191" t="s">
        <v>319</v>
      </c>
      <c r="G225" s="185">
        <v>14</v>
      </c>
      <c r="H225" s="185">
        <v>1</v>
      </c>
      <c r="I225" s="189">
        <v>4634.7</v>
      </c>
      <c r="J225" s="189">
        <v>4158.8</v>
      </c>
      <c r="K225" s="189">
        <v>3879.6</v>
      </c>
      <c r="L225" s="187">
        <v>198</v>
      </c>
      <c r="M225" s="185" t="s">
        <v>271</v>
      </c>
      <c r="N225" s="185" t="s">
        <v>275</v>
      </c>
      <c r="O225" s="188" t="s">
        <v>327</v>
      </c>
      <c r="P225" s="189">
        <v>2106413.2999999998</v>
      </c>
      <c r="Q225" s="189">
        <v>0</v>
      </c>
      <c r="R225" s="189">
        <v>0</v>
      </c>
      <c r="S225" s="189">
        <f>P225-Q225-R225</f>
        <v>2106413.2999999998</v>
      </c>
      <c r="T225" s="189">
        <f t="shared" si="27"/>
        <v>454.48751807020949</v>
      </c>
      <c r="U225" s="189">
        <f>T225</f>
        <v>454.48751807020949</v>
      </c>
      <c r="V225" s="170">
        <f t="shared" si="31"/>
        <v>0</v>
      </c>
      <c r="W225" s="170"/>
      <c r="X225" s="170"/>
      <c r="Y225" s="173">
        <f t="shared" si="32"/>
        <v>435.12183312835782</v>
      </c>
      <c r="AA225" s="173">
        <f t="shared" si="28"/>
        <v>386.2</v>
      </c>
      <c r="AC225" s="173" t="s">
        <v>63</v>
      </c>
      <c r="AD225" s="173">
        <v>1420</v>
      </c>
      <c r="AH225" s="173" t="e">
        <f t="shared" si="29"/>
        <v>#N/A</v>
      </c>
      <c r="AS225" s="173" t="e">
        <f t="shared" si="30"/>
        <v>#N/A</v>
      </c>
    </row>
    <row r="226" spans="1:45" s="173" customFormat="1" ht="36" customHeight="1" x14ac:dyDescent="0.9">
      <c r="A226" s="173">
        <v>1</v>
      </c>
      <c r="B226" s="91">
        <f>SUBTOTAL(103,$A$16:A226)</f>
        <v>207</v>
      </c>
      <c r="C226" s="90" t="s">
        <v>390</v>
      </c>
      <c r="D226" s="185">
        <v>1983</v>
      </c>
      <c r="E226" s="185">
        <v>2016</v>
      </c>
      <c r="F226" s="191" t="s">
        <v>319</v>
      </c>
      <c r="G226" s="185">
        <v>5</v>
      </c>
      <c r="H226" s="185">
        <v>5</v>
      </c>
      <c r="I226" s="189">
        <v>3913.2000000000003</v>
      </c>
      <c r="J226" s="189">
        <v>3443.4</v>
      </c>
      <c r="K226" s="189">
        <v>3334.1</v>
      </c>
      <c r="L226" s="187">
        <v>163</v>
      </c>
      <c r="M226" s="185" t="s">
        <v>271</v>
      </c>
      <c r="N226" s="185" t="s">
        <v>275</v>
      </c>
      <c r="O226" s="188" t="s">
        <v>327</v>
      </c>
      <c r="P226" s="189">
        <v>7016916.6500000004</v>
      </c>
      <c r="Q226" s="189">
        <v>0</v>
      </c>
      <c r="R226" s="189">
        <v>0</v>
      </c>
      <c r="S226" s="189">
        <f>P226-Q226-R226</f>
        <v>7016916.6500000004</v>
      </c>
      <c r="T226" s="189">
        <f t="shared" si="27"/>
        <v>1793.1403071654911</v>
      </c>
      <c r="U226" s="189">
        <f>AG226</f>
        <v>4535.2801812162397</v>
      </c>
      <c r="V226" s="170">
        <f t="shared" si="31"/>
        <v>2742.1398740507484</v>
      </c>
      <c r="W226" s="170"/>
      <c r="X226" s="170"/>
      <c r="Y226" s="173" t="e">
        <f t="shared" si="32"/>
        <v>#N/A</v>
      </c>
      <c r="AA226" s="173" t="e">
        <f t="shared" si="28"/>
        <v>#N/A</v>
      </c>
      <c r="AC226" s="173" t="s">
        <v>1596</v>
      </c>
      <c r="AD226" s="173">
        <v>1331</v>
      </c>
      <c r="AG226" s="173">
        <f>AH226*6191.24/J226</f>
        <v>4535.2801812162397</v>
      </c>
      <c r="AH226" s="173">
        <f t="shared" si="29"/>
        <v>2522.4</v>
      </c>
      <c r="AS226" s="173" t="e">
        <f t="shared" si="30"/>
        <v>#N/A</v>
      </c>
    </row>
    <row r="227" spans="1:45" s="173" customFormat="1" ht="36" customHeight="1" x14ac:dyDescent="0.9">
      <c r="A227" s="173">
        <v>1</v>
      </c>
      <c r="B227" s="91">
        <f>SUBTOTAL(103,$A$16:A227)</f>
        <v>208</v>
      </c>
      <c r="C227" s="90" t="s">
        <v>391</v>
      </c>
      <c r="D227" s="185">
        <v>1980</v>
      </c>
      <c r="E227" s="185">
        <v>2015</v>
      </c>
      <c r="F227" s="191" t="s">
        <v>319</v>
      </c>
      <c r="G227" s="185">
        <v>9</v>
      </c>
      <c r="H227" s="185">
        <v>5</v>
      </c>
      <c r="I227" s="189">
        <v>12180.699999999999</v>
      </c>
      <c r="J227" s="189">
        <v>10849.3</v>
      </c>
      <c r="K227" s="189">
        <v>10778.1</v>
      </c>
      <c r="L227" s="187">
        <v>498</v>
      </c>
      <c r="M227" s="185" t="s">
        <v>271</v>
      </c>
      <c r="N227" s="185" t="s">
        <v>275</v>
      </c>
      <c r="O227" s="188" t="s">
        <v>327</v>
      </c>
      <c r="P227" s="189">
        <v>14511124.540000001</v>
      </c>
      <c r="Q227" s="189">
        <v>0</v>
      </c>
      <c r="R227" s="189">
        <v>0</v>
      </c>
      <c r="S227" s="189">
        <f>P227-Q227-R227</f>
        <v>14511124.540000001</v>
      </c>
      <c r="T227" s="189">
        <f t="shared" si="27"/>
        <v>1191.3210685756978</v>
      </c>
      <c r="U227" s="189">
        <f>AG227</f>
        <v>4905.3762952448551</v>
      </c>
      <c r="V227" s="170">
        <f t="shared" si="31"/>
        <v>3714.0552266691575</v>
      </c>
      <c r="W227" s="170"/>
      <c r="X227" s="170"/>
      <c r="Y227" s="173" t="e">
        <f t="shared" si="32"/>
        <v>#N/A</v>
      </c>
      <c r="AA227" s="173" t="e">
        <f t="shared" si="28"/>
        <v>#N/A</v>
      </c>
      <c r="AC227" s="173" t="s">
        <v>52</v>
      </c>
      <c r="AD227" s="173">
        <v>1361</v>
      </c>
      <c r="AG227" s="173">
        <f>AH227*6191.24/J227</f>
        <v>4905.3762952448551</v>
      </c>
      <c r="AH227" s="173">
        <f t="shared" si="29"/>
        <v>8596</v>
      </c>
      <c r="AS227" s="173" t="e">
        <f t="shared" si="30"/>
        <v>#N/A</v>
      </c>
    </row>
    <row r="228" spans="1:45" s="173" customFormat="1" ht="36" customHeight="1" x14ac:dyDescent="0.9">
      <c r="A228" s="173">
        <v>1</v>
      </c>
      <c r="B228" s="91">
        <f>SUBTOTAL(103,$A$16:A228)</f>
        <v>209</v>
      </c>
      <c r="C228" s="90" t="s">
        <v>1203</v>
      </c>
      <c r="D228" s="185">
        <v>1979</v>
      </c>
      <c r="E228" s="185">
        <v>2016</v>
      </c>
      <c r="F228" s="191" t="s">
        <v>326</v>
      </c>
      <c r="G228" s="185">
        <v>9</v>
      </c>
      <c r="H228" s="185">
        <v>4</v>
      </c>
      <c r="I228" s="189">
        <v>7780.54</v>
      </c>
      <c r="J228" s="189">
        <v>7022.3</v>
      </c>
      <c r="K228" s="189">
        <v>6468.65</v>
      </c>
      <c r="L228" s="187">
        <v>388</v>
      </c>
      <c r="M228" s="185" t="s">
        <v>271</v>
      </c>
      <c r="N228" s="185" t="s">
        <v>275</v>
      </c>
      <c r="O228" s="188" t="s">
        <v>327</v>
      </c>
      <c r="P228" s="189">
        <v>16346897.049999999</v>
      </c>
      <c r="Q228" s="189">
        <v>0</v>
      </c>
      <c r="R228" s="189">
        <v>0</v>
      </c>
      <c r="S228" s="189">
        <f>P228-Q228-R228</f>
        <v>16346897.049999999</v>
      </c>
      <c r="T228" s="189">
        <f t="shared" si="27"/>
        <v>2100.9977520840453</v>
      </c>
      <c r="U228" s="189">
        <v>3929.63</v>
      </c>
      <c r="V228" s="170">
        <f t="shared" si="31"/>
        <v>1828.6322479159548</v>
      </c>
      <c r="W228" s="170"/>
      <c r="X228" s="170"/>
      <c r="Y228" s="173" t="e">
        <f t="shared" si="32"/>
        <v>#N/A</v>
      </c>
      <c r="AA228" s="173" t="e">
        <f t="shared" si="28"/>
        <v>#N/A</v>
      </c>
      <c r="AC228" s="173" t="s">
        <v>47</v>
      </c>
      <c r="AD228" s="173">
        <v>626.70000000000005</v>
      </c>
      <c r="AH228" s="173" t="e">
        <f t="shared" si="29"/>
        <v>#N/A</v>
      </c>
      <c r="AS228" s="173" t="e">
        <f t="shared" si="30"/>
        <v>#N/A</v>
      </c>
    </row>
    <row r="229" spans="1:45" s="173" customFormat="1" ht="36" customHeight="1" x14ac:dyDescent="0.9">
      <c r="A229" s="173">
        <v>1</v>
      </c>
      <c r="B229" s="91">
        <f>SUBTOTAL(103,$A$16:A229)</f>
        <v>210</v>
      </c>
      <c r="C229" s="90" t="s">
        <v>1204</v>
      </c>
      <c r="D229" s="185">
        <v>1985</v>
      </c>
      <c r="E229" s="185">
        <v>2018</v>
      </c>
      <c r="F229" s="191" t="s">
        <v>273</v>
      </c>
      <c r="G229" s="185">
        <v>9</v>
      </c>
      <c r="H229" s="185">
        <v>1</v>
      </c>
      <c r="I229" s="189">
        <v>4711.6000000000004</v>
      </c>
      <c r="J229" s="189">
        <v>3875.8</v>
      </c>
      <c r="K229" s="189">
        <v>955.8</v>
      </c>
      <c r="L229" s="187">
        <v>354</v>
      </c>
      <c r="M229" s="185" t="s">
        <v>271</v>
      </c>
      <c r="N229" s="185" t="s">
        <v>275</v>
      </c>
      <c r="O229" s="188" t="s">
        <v>1375</v>
      </c>
      <c r="P229" s="189">
        <v>4570000</v>
      </c>
      <c r="Q229" s="189">
        <v>0</v>
      </c>
      <c r="R229" s="189">
        <v>0</v>
      </c>
      <c r="S229" s="189">
        <f>P229-Q229-R229</f>
        <v>4570000</v>
      </c>
      <c r="T229" s="189">
        <f t="shared" si="27"/>
        <v>969.94651498429403</v>
      </c>
      <c r="U229" s="189">
        <f>T229</f>
        <v>969.94651498429403</v>
      </c>
      <c r="V229" s="170">
        <f t="shared" si="31"/>
        <v>0</v>
      </c>
      <c r="W229" s="170"/>
      <c r="X229" s="170"/>
      <c r="Y229" s="173" t="e">
        <f t="shared" si="32"/>
        <v>#N/A</v>
      </c>
      <c r="AA229" s="173" t="e">
        <f t="shared" si="28"/>
        <v>#N/A</v>
      </c>
      <c r="AC229" s="173" t="s">
        <v>821</v>
      </c>
      <c r="AD229" s="173">
        <v>644</v>
      </c>
      <c r="AH229" s="173" t="e">
        <f t="shared" si="29"/>
        <v>#N/A</v>
      </c>
      <c r="AR229" s="173">
        <f>AS229*2207413/I229</f>
        <v>937.0120553527463</v>
      </c>
      <c r="AS229" s="173">
        <f t="shared" si="30"/>
        <v>2</v>
      </c>
    </row>
    <row r="230" spans="1:45" s="173" customFormat="1" ht="36" customHeight="1" x14ac:dyDescent="0.9">
      <c r="A230" s="173">
        <v>1</v>
      </c>
      <c r="B230" s="91">
        <f>SUBTOTAL(103,$A$16:A230)</f>
        <v>211</v>
      </c>
      <c r="C230" s="90" t="s">
        <v>1600</v>
      </c>
      <c r="D230" s="185">
        <v>1971</v>
      </c>
      <c r="E230" s="185">
        <v>2015</v>
      </c>
      <c r="F230" s="191" t="s">
        <v>273</v>
      </c>
      <c r="G230" s="185">
        <v>9</v>
      </c>
      <c r="H230" s="185">
        <v>4</v>
      </c>
      <c r="I230" s="189">
        <v>8863.2999999999993</v>
      </c>
      <c r="J230" s="189">
        <v>7831.5</v>
      </c>
      <c r="K230" s="189">
        <v>7402.5</v>
      </c>
      <c r="L230" s="187">
        <v>282</v>
      </c>
      <c r="M230" s="185" t="s">
        <v>271</v>
      </c>
      <c r="N230" s="185" t="s">
        <v>275</v>
      </c>
      <c r="O230" s="188" t="s">
        <v>1375</v>
      </c>
      <c r="P230" s="189">
        <v>8133637.8399999999</v>
      </c>
      <c r="Q230" s="189">
        <v>0</v>
      </c>
      <c r="R230" s="189">
        <v>0</v>
      </c>
      <c r="S230" s="189">
        <f>P230-R230-Q230</f>
        <v>8133637.8399999999</v>
      </c>
      <c r="T230" s="189">
        <f t="shared" si="27"/>
        <v>917.67601683345936</v>
      </c>
      <c r="U230" s="189">
        <f>AR230</f>
        <v>996.20367131880914</v>
      </c>
      <c r="V230" s="170">
        <f t="shared" si="31"/>
        <v>78.527654485349785</v>
      </c>
      <c r="W230" s="170"/>
      <c r="X230" s="170"/>
      <c r="Y230" s="173" t="e">
        <f t="shared" si="32"/>
        <v>#N/A</v>
      </c>
      <c r="AA230" s="173" t="e">
        <f t="shared" si="28"/>
        <v>#N/A</v>
      </c>
      <c r="AC230" s="173" t="s">
        <v>44</v>
      </c>
      <c r="AD230" s="173">
        <v>631</v>
      </c>
      <c r="AH230" s="173" t="e">
        <f t="shared" si="29"/>
        <v>#N/A</v>
      </c>
      <c r="AR230" s="173">
        <f>AS230*2207413/I230</f>
        <v>996.20367131880914</v>
      </c>
      <c r="AS230" s="173">
        <f t="shared" si="30"/>
        <v>4</v>
      </c>
    </row>
    <row r="231" spans="1:45" s="173" customFormat="1" ht="36" customHeight="1" x14ac:dyDescent="0.9">
      <c r="B231" s="90" t="s">
        <v>840</v>
      </c>
      <c r="C231" s="192"/>
      <c r="D231" s="185" t="s">
        <v>915</v>
      </c>
      <c r="E231" s="185" t="s">
        <v>915</v>
      </c>
      <c r="F231" s="185" t="s">
        <v>915</v>
      </c>
      <c r="G231" s="185" t="s">
        <v>915</v>
      </c>
      <c r="H231" s="185" t="s">
        <v>915</v>
      </c>
      <c r="I231" s="186">
        <f>SUM(I232:I258)</f>
        <v>88594.11</v>
      </c>
      <c r="J231" s="186">
        <f>SUM(J232:J258)</f>
        <v>70533.58</v>
      </c>
      <c r="K231" s="186">
        <f>SUM(K232:K258)</f>
        <v>68546.800000000017</v>
      </c>
      <c r="L231" s="187">
        <f>SUM(L232:L258)</f>
        <v>3358</v>
      </c>
      <c r="M231" s="185" t="s">
        <v>915</v>
      </c>
      <c r="N231" s="185" t="s">
        <v>915</v>
      </c>
      <c r="O231" s="188" t="s">
        <v>915</v>
      </c>
      <c r="P231" s="186">
        <v>89614434.920000017</v>
      </c>
      <c r="Q231" s="186">
        <f>SUM(Q232:Q258)</f>
        <v>0</v>
      </c>
      <c r="R231" s="186">
        <f>SUM(R232:R258)</f>
        <v>0</v>
      </c>
      <c r="S231" s="186">
        <f>SUM(S232:S258)</f>
        <v>89614434.920000017</v>
      </c>
      <c r="T231" s="189">
        <f t="shared" si="27"/>
        <v>1011.5168482419431</v>
      </c>
      <c r="U231" s="189">
        <f>MAX(U232:U258)</f>
        <v>15092.214137825418</v>
      </c>
      <c r="V231" s="170">
        <f t="shared" si="31"/>
        <v>14080.697289583475</v>
      </c>
      <c r="W231" s="170"/>
      <c r="X231" s="170"/>
      <c r="Y231" s="173" t="e">
        <f t="shared" si="32"/>
        <v>#N/A</v>
      </c>
      <c r="AA231" s="173" t="e">
        <f t="shared" si="28"/>
        <v>#N/A</v>
      </c>
      <c r="AC231" s="173" t="s">
        <v>43</v>
      </c>
      <c r="AD231" s="173">
        <v>566</v>
      </c>
      <c r="AH231" s="173" t="e">
        <f t="shared" si="29"/>
        <v>#N/A</v>
      </c>
      <c r="AS231" s="173" t="e">
        <f t="shared" si="30"/>
        <v>#N/A</v>
      </c>
    </row>
    <row r="232" spans="1:45" s="173" customFormat="1" ht="36" customHeight="1" x14ac:dyDescent="0.9">
      <c r="A232" s="173">
        <v>1</v>
      </c>
      <c r="B232" s="91">
        <f>SUBTOTAL(103,$A$16:A232)</f>
        <v>212</v>
      </c>
      <c r="C232" s="90" t="s">
        <v>634</v>
      </c>
      <c r="D232" s="185">
        <v>1987</v>
      </c>
      <c r="E232" s="185"/>
      <c r="F232" s="191" t="s">
        <v>273</v>
      </c>
      <c r="G232" s="185">
        <v>10</v>
      </c>
      <c r="H232" s="185">
        <v>1</v>
      </c>
      <c r="I232" s="189">
        <v>3669.9</v>
      </c>
      <c r="J232" s="189">
        <v>1997.7</v>
      </c>
      <c r="K232" s="189">
        <v>1997.7</v>
      </c>
      <c r="L232" s="187">
        <v>156</v>
      </c>
      <c r="M232" s="185" t="s">
        <v>271</v>
      </c>
      <c r="N232" s="185" t="s">
        <v>349</v>
      </c>
      <c r="O232" s="188" t="s">
        <v>727</v>
      </c>
      <c r="P232" s="189">
        <v>4514092.07</v>
      </c>
      <c r="Q232" s="189">
        <v>0</v>
      </c>
      <c r="R232" s="189">
        <v>0</v>
      </c>
      <c r="S232" s="189">
        <f t="shared" ref="S232:S257" si="35">P232-Q232-R232</f>
        <v>4514092.07</v>
      </c>
      <c r="T232" s="189">
        <f t="shared" si="27"/>
        <v>1230.0313550777951</v>
      </c>
      <c r="U232" s="189">
        <f>T232</f>
        <v>1230.0313550777951</v>
      </c>
      <c r="V232" s="170">
        <f t="shared" si="31"/>
        <v>0</v>
      </c>
      <c r="W232" s="170"/>
      <c r="X232" s="170"/>
      <c r="Y232" s="173" t="e">
        <f t="shared" si="32"/>
        <v>#N/A</v>
      </c>
      <c r="AA232" s="173" t="e">
        <f t="shared" si="28"/>
        <v>#N/A</v>
      </c>
      <c r="AC232" s="173" t="s">
        <v>45</v>
      </c>
      <c r="AD232" s="173">
        <v>562</v>
      </c>
      <c r="AH232" s="173" t="e">
        <f t="shared" si="29"/>
        <v>#N/A</v>
      </c>
      <c r="AR232" s="173">
        <f>AS232*2174091/I232</f>
        <v>1184.8230197008093</v>
      </c>
      <c r="AS232" s="173">
        <f t="shared" si="30"/>
        <v>2</v>
      </c>
    </row>
    <row r="233" spans="1:45" s="173" customFormat="1" ht="36" customHeight="1" x14ac:dyDescent="0.9">
      <c r="A233" s="173">
        <v>1</v>
      </c>
      <c r="B233" s="91">
        <f>SUBTOTAL(103,$A$16:A233)</f>
        <v>213</v>
      </c>
      <c r="C233" s="90" t="s">
        <v>639</v>
      </c>
      <c r="D233" s="185">
        <v>1967</v>
      </c>
      <c r="E233" s="185"/>
      <c r="F233" s="191" t="s">
        <v>273</v>
      </c>
      <c r="G233" s="185">
        <v>5</v>
      </c>
      <c r="H233" s="185">
        <v>4</v>
      </c>
      <c r="I233" s="189">
        <v>3578.24</v>
      </c>
      <c r="J233" s="189">
        <v>3578.24</v>
      </c>
      <c r="K233" s="189">
        <v>3012.01</v>
      </c>
      <c r="L233" s="187">
        <v>120</v>
      </c>
      <c r="M233" s="185" t="s">
        <v>271</v>
      </c>
      <c r="N233" s="185" t="s">
        <v>275</v>
      </c>
      <c r="O233" s="188" t="s">
        <v>728</v>
      </c>
      <c r="P233" s="189">
        <v>6206854.4400000004</v>
      </c>
      <c r="Q233" s="189">
        <v>0</v>
      </c>
      <c r="R233" s="189">
        <v>0</v>
      </c>
      <c r="S233" s="189">
        <f t="shared" si="35"/>
        <v>6206854.4400000004</v>
      </c>
      <c r="T233" s="189">
        <f t="shared" si="27"/>
        <v>1734.6109931139333</v>
      </c>
      <c r="U233" s="189">
        <v>1763.0451601904847</v>
      </c>
      <c r="V233" s="170">
        <f t="shared" si="31"/>
        <v>28.434167076551375</v>
      </c>
      <c r="W233" s="170"/>
      <c r="X233" s="170"/>
      <c r="Y233" s="173" t="e">
        <f t="shared" si="32"/>
        <v>#N/A</v>
      </c>
      <c r="AA233" s="173" t="e">
        <f t="shared" si="28"/>
        <v>#N/A</v>
      </c>
      <c r="AC233" s="173" t="s">
        <v>1278</v>
      </c>
      <c r="AD233" s="173">
        <v>454</v>
      </c>
      <c r="AH233" s="173" t="e">
        <f t="shared" si="29"/>
        <v>#N/A</v>
      </c>
      <c r="AS233" s="173" t="e">
        <f t="shared" si="30"/>
        <v>#N/A</v>
      </c>
    </row>
    <row r="234" spans="1:45" s="173" customFormat="1" ht="36" customHeight="1" x14ac:dyDescent="0.9">
      <c r="A234" s="173">
        <v>1</v>
      </c>
      <c r="B234" s="91">
        <f>SUBTOTAL(103,$A$16:A234)</f>
        <v>214</v>
      </c>
      <c r="C234" s="90" t="s">
        <v>640</v>
      </c>
      <c r="D234" s="185">
        <v>1965</v>
      </c>
      <c r="E234" s="185"/>
      <c r="F234" s="191" t="s">
        <v>273</v>
      </c>
      <c r="G234" s="185">
        <v>5</v>
      </c>
      <c r="H234" s="185">
        <v>2</v>
      </c>
      <c r="I234" s="189">
        <v>4985.66</v>
      </c>
      <c r="J234" s="189">
        <v>2300.6799999999998</v>
      </c>
      <c r="K234" s="189">
        <v>2300.6799999999998</v>
      </c>
      <c r="L234" s="187">
        <v>202</v>
      </c>
      <c r="M234" s="185" t="s">
        <v>271</v>
      </c>
      <c r="N234" s="185" t="s">
        <v>275</v>
      </c>
      <c r="O234" s="188" t="s">
        <v>729</v>
      </c>
      <c r="P234" s="189">
        <v>372359.35</v>
      </c>
      <c r="Q234" s="189">
        <v>0</v>
      </c>
      <c r="R234" s="189">
        <v>0</v>
      </c>
      <c r="S234" s="189">
        <f t="shared" si="35"/>
        <v>372359.35</v>
      </c>
      <c r="T234" s="189">
        <f t="shared" si="27"/>
        <v>74.686069647749747</v>
      </c>
      <c r="U234" s="189">
        <f>AG234</f>
        <v>5322.8926752090683</v>
      </c>
      <c r="V234" s="170">
        <f t="shared" si="31"/>
        <v>5248.2066055613186</v>
      </c>
      <c r="W234" s="170"/>
      <c r="X234" s="170"/>
      <c r="Y234" s="173" t="e">
        <f t="shared" si="32"/>
        <v>#N/A</v>
      </c>
      <c r="AA234" s="173" t="e">
        <f t="shared" si="28"/>
        <v>#N/A</v>
      </c>
      <c r="AC234" s="173" t="s">
        <v>42</v>
      </c>
      <c r="AD234" s="173">
        <v>595</v>
      </c>
      <c r="AG234" s="173">
        <f>AH234*6191.24/J234</f>
        <v>5322.8926752090683</v>
      </c>
      <c r="AH234" s="173">
        <f t="shared" si="29"/>
        <v>1978</v>
      </c>
      <c r="AS234" s="173" t="e">
        <f t="shared" si="30"/>
        <v>#N/A</v>
      </c>
    </row>
    <row r="235" spans="1:45" s="173" customFormat="1" ht="36" customHeight="1" x14ac:dyDescent="0.9">
      <c r="A235" s="173">
        <v>1</v>
      </c>
      <c r="B235" s="91">
        <f>SUBTOTAL(103,$A$16:A235)</f>
        <v>215</v>
      </c>
      <c r="C235" s="90" t="s">
        <v>643</v>
      </c>
      <c r="D235" s="185">
        <v>1993</v>
      </c>
      <c r="E235" s="185"/>
      <c r="F235" s="191" t="s">
        <v>319</v>
      </c>
      <c r="G235" s="185">
        <v>9</v>
      </c>
      <c r="H235" s="185">
        <v>2</v>
      </c>
      <c r="I235" s="189">
        <v>5060.3</v>
      </c>
      <c r="J235" s="189">
        <v>2946.8</v>
      </c>
      <c r="K235" s="189">
        <v>2946.8</v>
      </c>
      <c r="L235" s="187">
        <v>281</v>
      </c>
      <c r="M235" s="185" t="s">
        <v>271</v>
      </c>
      <c r="N235" s="185" t="s">
        <v>275</v>
      </c>
      <c r="O235" s="188" t="s">
        <v>730</v>
      </c>
      <c r="P235" s="189">
        <v>3407945.42</v>
      </c>
      <c r="Q235" s="189">
        <v>0</v>
      </c>
      <c r="R235" s="189">
        <v>0</v>
      </c>
      <c r="S235" s="189">
        <f t="shared" si="35"/>
        <v>3407945.42</v>
      </c>
      <c r="T235" s="189">
        <f t="shared" si="27"/>
        <v>673.46707112226545</v>
      </c>
      <c r="U235" s="189">
        <f>AR235</f>
        <v>872.44353101594766</v>
      </c>
      <c r="V235" s="170">
        <f t="shared" si="31"/>
        <v>198.9764598936822</v>
      </c>
      <c r="W235" s="170"/>
      <c r="X235" s="170"/>
      <c r="Y235" s="173" t="e">
        <f t="shared" si="32"/>
        <v>#N/A</v>
      </c>
      <c r="AA235" s="173" t="e">
        <f t="shared" si="28"/>
        <v>#N/A</v>
      </c>
      <c r="AC235" s="173" t="s">
        <v>1598</v>
      </c>
      <c r="AD235" s="173">
        <v>747.3</v>
      </c>
      <c r="AH235" s="173" t="e">
        <f t="shared" si="29"/>
        <v>#N/A</v>
      </c>
      <c r="AR235" s="173">
        <f>AS235*2207413/I235</f>
        <v>872.44353101594766</v>
      </c>
      <c r="AS235" s="173">
        <f t="shared" si="30"/>
        <v>2</v>
      </c>
    </row>
    <row r="236" spans="1:45" s="173" customFormat="1" ht="36" customHeight="1" x14ac:dyDescent="0.9">
      <c r="A236" s="173">
        <v>1</v>
      </c>
      <c r="B236" s="91">
        <f>SUBTOTAL(103,$A$16:A236)</f>
        <v>216</v>
      </c>
      <c r="C236" s="90" t="s">
        <v>645</v>
      </c>
      <c r="D236" s="185">
        <v>1959</v>
      </c>
      <c r="E236" s="185"/>
      <c r="F236" s="191" t="s">
        <v>273</v>
      </c>
      <c r="G236" s="185">
        <v>2</v>
      </c>
      <c r="H236" s="185">
        <v>2</v>
      </c>
      <c r="I236" s="189">
        <v>606.79999999999995</v>
      </c>
      <c r="J236" s="189">
        <v>525.79999999999995</v>
      </c>
      <c r="K236" s="189">
        <v>525.79999999999995</v>
      </c>
      <c r="L236" s="187">
        <v>29</v>
      </c>
      <c r="M236" s="185" t="s">
        <v>271</v>
      </c>
      <c r="N236" s="185" t="s">
        <v>275</v>
      </c>
      <c r="O236" s="188" t="s">
        <v>728</v>
      </c>
      <c r="P236" s="189">
        <v>2597044.75</v>
      </c>
      <c r="Q236" s="189">
        <v>0</v>
      </c>
      <c r="R236" s="189">
        <v>0</v>
      </c>
      <c r="S236" s="189">
        <f t="shared" si="35"/>
        <v>2597044.75</v>
      </c>
      <c r="T236" s="189">
        <f t="shared" si="27"/>
        <v>4279.902356624918</v>
      </c>
      <c r="U236" s="189">
        <f>T236</f>
        <v>4279.902356624918</v>
      </c>
      <c r="V236" s="170">
        <f t="shared" si="31"/>
        <v>0</v>
      </c>
      <c r="W236" s="170"/>
      <c r="X236" s="170"/>
      <c r="Y236" s="173">
        <f t="shared" si="32"/>
        <v>4184.5825411997366</v>
      </c>
      <c r="AA236" s="173">
        <f t="shared" si="28"/>
        <v>486.27</v>
      </c>
      <c r="AC236" s="173" t="s">
        <v>50</v>
      </c>
      <c r="AD236" s="173">
        <v>867.3</v>
      </c>
      <c r="AH236" s="173" t="e">
        <f t="shared" si="29"/>
        <v>#N/A</v>
      </c>
      <c r="AS236" s="173" t="e">
        <f t="shared" si="30"/>
        <v>#N/A</v>
      </c>
    </row>
    <row r="237" spans="1:45" s="173" customFormat="1" ht="36" customHeight="1" x14ac:dyDescent="0.9">
      <c r="A237" s="173">
        <v>1</v>
      </c>
      <c r="B237" s="91">
        <f>SUBTOTAL(103,$A$16:A237)</f>
        <v>217</v>
      </c>
      <c r="C237" s="90" t="s">
        <v>648</v>
      </c>
      <c r="D237" s="185">
        <v>1965</v>
      </c>
      <c r="E237" s="185"/>
      <c r="F237" s="191" t="s">
        <v>273</v>
      </c>
      <c r="G237" s="185">
        <v>5</v>
      </c>
      <c r="H237" s="185">
        <v>2</v>
      </c>
      <c r="I237" s="189">
        <v>2026.2</v>
      </c>
      <c r="J237" s="189">
        <v>1565.4</v>
      </c>
      <c r="K237" s="189">
        <v>1565.4</v>
      </c>
      <c r="L237" s="187">
        <v>104</v>
      </c>
      <c r="M237" s="185" t="s">
        <v>271</v>
      </c>
      <c r="N237" s="185" t="s">
        <v>275</v>
      </c>
      <c r="O237" s="188" t="s">
        <v>730</v>
      </c>
      <c r="P237" s="189">
        <v>3150844.62</v>
      </c>
      <c r="Q237" s="189">
        <v>0</v>
      </c>
      <c r="R237" s="189">
        <v>0</v>
      </c>
      <c r="S237" s="189">
        <f t="shared" si="35"/>
        <v>3150844.62</v>
      </c>
      <c r="T237" s="189">
        <f t="shared" si="27"/>
        <v>1555.0511400651467</v>
      </c>
      <c r="U237" s="189">
        <f>T237</f>
        <v>1555.0511400651467</v>
      </c>
      <c r="V237" s="170">
        <f t="shared" si="31"/>
        <v>0</v>
      </c>
      <c r="W237" s="170"/>
      <c r="X237" s="170"/>
      <c r="Y237" s="173">
        <f t="shared" si="32"/>
        <v>1512.0077287533315</v>
      </c>
      <c r="AA237" s="173">
        <f t="shared" si="28"/>
        <v>586.70000000000005</v>
      </c>
      <c r="AC237" s="173" t="s">
        <v>48</v>
      </c>
      <c r="AD237" s="173">
        <v>652.70000000000005</v>
      </c>
      <c r="AH237" s="173" t="e">
        <f t="shared" si="29"/>
        <v>#N/A</v>
      </c>
      <c r="AS237" s="173" t="e">
        <f t="shared" si="30"/>
        <v>#N/A</v>
      </c>
    </row>
    <row r="238" spans="1:45" s="173" customFormat="1" ht="36" customHeight="1" x14ac:dyDescent="0.9">
      <c r="A238" s="173">
        <v>1</v>
      </c>
      <c r="B238" s="91">
        <f>SUBTOTAL(103,$A$16:A238)</f>
        <v>218</v>
      </c>
      <c r="C238" s="90" t="s">
        <v>649</v>
      </c>
      <c r="D238" s="185">
        <v>1963</v>
      </c>
      <c r="E238" s="185"/>
      <c r="F238" s="191" t="s">
        <v>273</v>
      </c>
      <c r="G238" s="185">
        <v>2</v>
      </c>
      <c r="H238" s="185">
        <v>1</v>
      </c>
      <c r="I238" s="189">
        <v>429.2</v>
      </c>
      <c r="J238" s="189">
        <v>388.96</v>
      </c>
      <c r="K238" s="189">
        <v>388.96</v>
      </c>
      <c r="L238" s="187">
        <v>13</v>
      </c>
      <c r="M238" s="185" t="s">
        <v>271</v>
      </c>
      <c r="N238" s="185" t="s">
        <v>275</v>
      </c>
      <c r="O238" s="188" t="s">
        <v>731</v>
      </c>
      <c r="P238" s="189">
        <v>1519430.92</v>
      </c>
      <c r="Q238" s="189">
        <v>0</v>
      </c>
      <c r="R238" s="189">
        <v>0</v>
      </c>
      <c r="S238" s="189">
        <f t="shared" si="35"/>
        <v>1519430.92</v>
      </c>
      <c r="T238" s="189">
        <f t="shared" si="27"/>
        <v>3540.1465983224602</v>
      </c>
      <c r="U238" s="189">
        <f>Y238</f>
        <v>4678.6938676607642</v>
      </c>
      <c r="V238" s="170">
        <f t="shared" si="31"/>
        <v>1138.547269338304</v>
      </c>
      <c r="W238" s="170"/>
      <c r="X238" s="170"/>
      <c r="Y238" s="173">
        <f t="shared" si="32"/>
        <v>4678.6938676607642</v>
      </c>
      <c r="AA238" s="173">
        <f t="shared" si="28"/>
        <v>384.56</v>
      </c>
      <c r="AC238" s="173" t="s">
        <v>49</v>
      </c>
      <c r="AD238" s="173">
        <v>896.9</v>
      </c>
      <c r="AH238" s="173" t="e">
        <f t="shared" si="29"/>
        <v>#N/A</v>
      </c>
      <c r="AS238" s="173" t="e">
        <f t="shared" si="30"/>
        <v>#N/A</v>
      </c>
    </row>
    <row r="239" spans="1:45" s="173" customFormat="1" ht="36" customHeight="1" x14ac:dyDescent="0.9">
      <c r="A239" s="173">
        <v>1</v>
      </c>
      <c r="B239" s="91">
        <f>SUBTOTAL(103,$A$16:A239)</f>
        <v>219</v>
      </c>
      <c r="C239" s="90" t="s">
        <v>650</v>
      </c>
      <c r="D239" s="185">
        <v>1987</v>
      </c>
      <c r="E239" s="185"/>
      <c r="F239" s="191" t="s">
        <v>273</v>
      </c>
      <c r="G239" s="185">
        <v>9</v>
      </c>
      <c r="H239" s="185">
        <v>2</v>
      </c>
      <c r="I239" s="189">
        <v>7472.7</v>
      </c>
      <c r="J239" s="189">
        <v>7472.7</v>
      </c>
      <c r="K239" s="189">
        <v>7472.7</v>
      </c>
      <c r="L239" s="187">
        <v>180</v>
      </c>
      <c r="M239" s="185" t="s">
        <v>271</v>
      </c>
      <c r="N239" s="185" t="s">
        <v>289</v>
      </c>
      <c r="O239" s="188" t="s">
        <v>274</v>
      </c>
      <c r="P239" s="189">
        <v>1623216.35</v>
      </c>
      <c r="Q239" s="189">
        <v>0</v>
      </c>
      <c r="R239" s="189">
        <v>0</v>
      </c>
      <c r="S239" s="189">
        <f t="shared" si="35"/>
        <v>1623216.35</v>
      </c>
      <c r="T239" s="189">
        <f t="shared" si="27"/>
        <v>217.2195257403616</v>
      </c>
      <c r="U239" s="189">
        <f>AR239</f>
        <v>295.39697833447082</v>
      </c>
      <c r="V239" s="170">
        <f t="shared" si="31"/>
        <v>78.177452594109212</v>
      </c>
      <c r="W239" s="170"/>
      <c r="X239" s="170"/>
      <c r="Y239" s="173" t="e">
        <f t="shared" si="32"/>
        <v>#N/A</v>
      </c>
      <c r="AA239" s="173" t="e">
        <f t="shared" si="28"/>
        <v>#N/A</v>
      </c>
      <c r="AC239" s="173" t="s">
        <v>51</v>
      </c>
      <c r="AD239" s="173">
        <v>681</v>
      </c>
      <c r="AH239" s="173" t="e">
        <f t="shared" si="29"/>
        <v>#N/A</v>
      </c>
      <c r="AR239" s="173">
        <f>AS239*2207413/I239</f>
        <v>295.39697833447082</v>
      </c>
      <c r="AS239" s="173">
        <f t="shared" si="30"/>
        <v>1</v>
      </c>
    </row>
    <row r="240" spans="1:45" s="173" customFormat="1" ht="36" customHeight="1" x14ac:dyDescent="0.9">
      <c r="A240" s="173">
        <v>1</v>
      </c>
      <c r="B240" s="91">
        <f>SUBTOTAL(103,$A$16:A240)</f>
        <v>220</v>
      </c>
      <c r="C240" s="90" t="s">
        <v>652</v>
      </c>
      <c r="D240" s="185">
        <v>1917</v>
      </c>
      <c r="E240" s="185"/>
      <c r="F240" s="191" t="s">
        <v>273</v>
      </c>
      <c r="G240" s="185">
        <v>2</v>
      </c>
      <c r="H240" s="185">
        <v>1</v>
      </c>
      <c r="I240" s="189">
        <v>237.3</v>
      </c>
      <c r="J240" s="189">
        <v>207.2</v>
      </c>
      <c r="K240" s="189">
        <v>207.2</v>
      </c>
      <c r="L240" s="187">
        <v>13</v>
      </c>
      <c r="M240" s="185" t="s">
        <v>271</v>
      </c>
      <c r="N240" s="185" t="s">
        <v>272</v>
      </c>
      <c r="O240" s="188" t="s">
        <v>274</v>
      </c>
      <c r="P240" s="189">
        <v>1094145.4000000001</v>
      </c>
      <c r="Q240" s="189">
        <v>0</v>
      </c>
      <c r="R240" s="189">
        <v>0</v>
      </c>
      <c r="S240" s="189">
        <f t="shared" si="35"/>
        <v>1094145.4000000001</v>
      </c>
      <c r="T240" s="189">
        <f t="shared" si="27"/>
        <v>4610.8107880320276</v>
      </c>
      <c r="U240" s="189">
        <f>Y240</f>
        <v>5281.2136536030339</v>
      </c>
      <c r="V240" s="170">
        <f t="shared" si="31"/>
        <v>670.40286557100626</v>
      </c>
      <c r="W240" s="170"/>
      <c r="X240" s="170"/>
      <c r="Y240" s="173">
        <f t="shared" si="32"/>
        <v>5281.2136536030339</v>
      </c>
      <c r="AA240" s="173">
        <f t="shared" si="28"/>
        <v>240</v>
      </c>
      <c r="AC240" s="173" t="s">
        <v>1272</v>
      </c>
      <c r="AD240" s="173">
        <v>678.5</v>
      </c>
      <c r="AH240" s="173" t="e">
        <f t="shared" si="29"/>
        <v>#N/A</v>
      </c>
      <c r="AS240" s="173" t="e">
        <f t="shared" si="30"/>
        <v>#N/A</v>
      </c>
    </row>
    <row r="241" spans="1:45" s="173" customFormat="1" ht="36" customHeight="1" x14ac:dyDescent="0.9">
      <c r="A241" s="173">
        <v>1</v>
      </c>
      <c r="B241" s="91">
        <f>SUBTOTAL(103,$A$16:A241)</f>
        <v>221</v>
      </c>
      <c r="C241" s="90" t="s">
        <v>656</v>
      </c>
      <c r="D241" s="185">
        <v>1972</v>
      </c>
      <c r="E241" s="185"/>
      <c r="F241" s="191" t="s">
        <v>273</v>
      </c>
      <c r="G241" s="185">
        <v>5</v>
      </c>
      <c r="H241" s="185">
        <v>1</v>
      </c>
      <c r="I241" s="189">
        <v>1651.99</v>
      </c>
      <c r="J241" s="189">
        <v>1219.19</v>
      </c>
      <c r="K241" s="189">
        <v>1219.19</v>
      </c>
      <c r="L241" s="187">
        <v>231</v>
      </c>
      <c r="M241" s="185" t="s">
        <v>271</v>
      </c>
      <c r="N241" s="185" t="s">
        <v>349</v>
      </c>
      <c r="O241" s="188" t="s">
        <v>732</v>
      </c>
      <c r="P241" s="189">
        <v>1846706.18</v>
      </c>
      <c r="Q241" s="189">
        <v>0</v>
      </c>
      <c r="R241" s="189">
        <v>0</v>
      </c>
      <c r="S241" s="189">
        <f t="shared" si="35"/>
        <v>1846706.18</v>
      </c>
      <c r="T241" s="189">
        <f t="shared" si="27"/>
        <v>1117.8676505305721</v>
      </c>
      <c r="U241" s="189">
        <f>Y241</f>
        <v>1779.9112464361165</v>
      </c>
      <c r="V241" s="170">
        <f t="shared" si="31"/>
        <v>662.04359590554441</v>
      </c>
      <c r="W241" s="170"/>
      <c r="X241" s="170"/>
      <c r="Y241" s="173">
        <f t="shared" si="32"/>
        <v>1779.9112464361165</v>
      </c>
      <c r="AA241" s="173">
        <f t="shared" si="28"/>
        <v>563.1</v>
      </c>
      <c r="AC241" s="173" t="s">
        <v>1273</v>
      </c>
      <c r="AD241" s="173">
        <v>1278.8</v>
      </c>
      <c r="AH241" s="173" t="e">
        <f t="shared" si="29"/>
        <v>#N/A</v>
      </c>
      <c r="AS241" s="173" t="e">
        <f t="shared" si="30"/>
        <v>#N/A</v>
      </c>
    </row>
    <row r="242" spans="1:45" s="173" customFormat="1" ht="36" customHeight="1" x14ac:dyDescent="0.9">
      <c r="A242" s="173">
        <v>1</v>
      </c>
      <c r="B242" s="91">
        <f>SUBTOTAL(103,$A$16:A242)</f>
        <v>222</v>
      </c>
      <c r="C242" s="90" t="s">
        <v>1119</v>
      </c>
      <c r="D242" s="185">
        <v>1965</v>
      </c>
      <c r="E242" s="185"/>
      <c r="F242" s="191" t="s">
        <v>273</v>
      </c>
      <c r="G242" s="185">
        <v>5</v>
      </c>
      <c r="H242" s="185">
        <v>4</v>
      </c>
      <c r="I242" s="189">
        <v>3471.4</v>
      </c>
      <c r="J242" s="189">
        <v>3417.4</v>
      </c>
      <c r="K242" s="189">
        <v>3143.9</v>
      </c>
      <c r="L242" s="187">
        <v>208</v>
      </c>
      <c r="M242" s="185" t="s">
        <v>271</v>
      </c>
      <c r="N242" s="185" t="s">
        <v>275</v>
      </c>
      <c r="O242" s="188" t="s">
        <v>730</v>
      </c>
      <c r="P242" s="189">
        <v>6172822.9000000004</v>
      </c>
      <c r="Q242" s="189">
        <v>0</v>
      </c>
      <c r="R242" s="189">
        <v>0</v>
      </c>
      <c r="S242" s="189">
        <f t="shared" si="35"/>
        <v>6172822.9000000004</v>
      </c>
      <c r="T242" s="189">
        <f t="shared" si="27"/>
        <v>1778.1940715561445</v>
      </c>
      <c r="U242" s="189">
        <f>T242</f>
        <v>1778.1940715561445</v>
      </c>
      <c r="V242" s="170">
        <f t="shared" si="31"/>
        <v>0</v>
      </c>
      <c r="W242" s="170"/>
      <c r="X242" s="170"/>
      <c r="Y242" s="173">
        <f t="shared" si="32"/>
        <v>1353.8111424785388</v>
      </c>
      <c r="AA242" s="173">
        <f t="shared" si="28"/>
        <v>900</v>
      </c>
      <c r="AC242" s="173" t="s">
        <v>1275</v>
      </c>
      <c r="AD242" s="173">
        <v>225.04</v>
      </c>
      <c r="AH242" s="173" t="e">
        <f t="shared" si="29"/>
        <v>#N/A</v>
      </c>
      <c r="AS242" s="173" t="e">
        <f t="shared" si="30"/>
        <v>#N/A</v>
      </c>
    </row>
    <row r="243" spans="1:45" s="173" customFormat="1" ht="36" customHeight="1" x14ac:dyDescent="0.9">
      <c r="A243" s="173">
        <v>1</v>
      </c>
      <c r="B243" s="91">
        <f>SUBTOTAL(103,$A$16:A243)</f>
        <v>223</v>
      </c>
      <c r="C243" s="90" t="s">
        <v>1205</v>
      </c>
      <c r="D243" s="185" t="s">
        <v>1341</v>
      </c>
      <c r="E243" s="185"/>
      <c r="F243" s="191" t="s">
        <v>319</v>
      </c>
      <c r="G243" s="185" t="s">
        <v>366</v>
      </c>
      <c r="H243" s="185" t="s">
        <v>311</v>
      </c>
      <c r="I243" s="189">
        <v>4238.3</v>
      </c>
      <c r="J243" s="189">
        <v>3715.7</v>
      </c>
      <c r="K243" s="189">
        <v>3797</v>
      </c>
      <c r="L243" s="187">
        <v>139</v>
      </c>
      <c r="M243" s="185" t="s">
        <v>271</v>
      </c>
      <c r="N243" s="185" t="s">
        <v>275</v>
      </c>
      <c r="O243" s="188" t="s">
        <v>1342</v>
      </c>
      <c r="P243" s="189">
        <v>1036792.7000000001</v>
      </c>
      <c r="Q243" s="189">
        <v>0</v>
      </c>
      <c r="R243" s="189">
        <v>0</v>
      </c>
      <c r="S243" s="189">
        <f t="shared" si="35"/>
        <v>1036792.7000000001</v>
      </c>
      <c r="T243" s="189">
        <f t="shared" si="27"/>
        <v>244.62466083099358</v>
      </c>
      <c r="U243" s="189">
        <f>Y243</f>
        <v>665.92334190595284</v>
      </c>
      <c r="V243" s="170">
        <f t="shared" si="31"/>
        <v>421.29868107495929</v>
      </c>
      <c r="W243" s="170"/>
      <c r="X243" s="170"/>
      <c r="Y243" s="173">
        <f t="shared" si="32"/>
        <v>665.92334190595284</v>
      </c>
      <c r="AA243" s="173">
        <f t="shared" si="28"/>
        <v>540.5</v>
      </c>
      <c r="AC243" s="173" t="s">
        <v>1276</v>
      </c>
      <c r="AD243" s="173">
        <v>337</v>
      </c>
      <c r="AH243" s="173" t="e">
        <f t="shared" si="29"/>
        <v>#N/A</v>
      </c>
      <c r="AS243" s="173" t="e">
        <f t="shared" si="30"/>
        <v>#N/A</v>
      </c>
    </row>
    <row r="244" spans="1:45" s="173" customFormat="1" ht="36" customHeight="1" x14ac:dyDescent="0.9">
      <c r="A244" s="173">
        <v>1</v>
      </c>
      <c r="B244" s="91">
        <f>SUBTOTAL(103,$A$16:A244)</f>
        <v>224</v>
      </c>
      <c r="C244" s="90" t="s">
        <v>1206</v>
      </c>
      <c r="D244" s="185" t="s">
        <v>317</v>
      </c>
      <c r="E244" s="185"/>
      <c r="F244" s="191" t="s">
        <v>273</v>
      </c>
      <c r="G244" s="185" t="s">
        <v>320</v>
      </c>
      <c r="H244" s="185" t="s">
        <v>311</v>
      </c>
      <c r="I244" s="189">
        <v>1681.3</v>
      </c>
      <c r="J244" s="189">
        <v>1080.3</v>
      </c>
      <c r="K244" s="189">
        <v>880.4</v>
      </c>
      <c r="L244" s="187">
        <v>62</v>
      </c>
      <c r="M244" s="185" t="s">
        <v>271</v>
      </c>
      <c r="N244" s="185" t="s">
        <v>275</v>
      </c>
      <c r="O244" s="188" t="s">
        <v>1343</v>
      </c>
      <c r="P244" s="189">
        <v>3426545.11</v>
      </c>
      <c r="Q244" s="189">
        <v>0</v>
      </c>
      <c r="R244" s="189">
        <v>0</v>
      </c>
      <c r="S244" s="189">
        <f t="shared" si="35"/>
        <v>3426545.11</v>
      </c>
      <c r="T244" s="189">
        <f t="shared" si="27"/>
        <v>2038.0331350740498</v>
      </c>
      <c r="U244" s="189">
        <f>T244</f>
        <v>2038.0331350740498</v>
      </c>
      <c r="V244" s="170">
        <f t="shared" si="31"/>
        <v>0</v>
      </c>
      <c r="W244" s="170"/>
      <c r="X244" s="170"/>
      <c r="Y244" s="173">
        <f t="shared" si="32"/>
        <v>1874.3569261880689</v>
      </c>
      <c r="AA244" s="173">
        <f t="shared" si="28"/>
        <v>603.5</v>
      </c>
      <c r="AC244" s="173" t="s">
        <v>1280</v>
      </c>
      <c r="AD244" s="173">
        <v>511.8</v>
      </c>
      <c r="AH244" s="173" t="e">
        <f t="shared" si="29"/>
        <v>#N/A</v>
      </c>
      <c r="AS244" s="173" t="e">
        <f t="shared" si="30"/>
        <v>#N/A</v>
      </c>
    </row>
    <row r="245" spans="1:45" s="173" customFormat="1" ht="36" customHeight="1" x14ac:dyDescent="0.9">
      <c r="A245" s="173">
        <v>1</v>
      </c>
      <c r="B245" s="91">
        <f>SUBTOTAL(103,$A$16:A245)</f>
        <v>225</v>
      </c>
      <c r="C245" s="90" t="s">
        <v>1207</v>
      </c>
      <c r="D245" s="185">
        <v>1959</v>
      </c>
      <c r="E245" s="185"/>
      <c r="F245" s="191" t="s">
        <v>273</v>
      </c>
      <c r="G245" s="185">
        <v>5</v>
      </c>
      <c r="H245" s="185">
        <v>5</v>
      </c>
      <c r="I245" s="189">
        <v>4642.6499999999996</v>
      </c>
      <c r="J245" s="189">
        <v>4206.49</v>
      </c>
      <c r="K245" s="189">
        <v>3767.59</v>
      </c>
      <c r="L245" s="187">
        <v>111</v>
      </c>
      <c r="M245" s="185" t="s">
        <v>271</v>
      </c>
      <c r="N245" s="185" t="s">
        <v>275</v>
      </c>
      <c r="O245" s="188" t="s">
        <v>1344</v>
      </c>
      <c r="P245" s="189">
        <v>8907316.4199999999</v>
      </c>
      <c r="Q245" s="189">
        <v>0</v>
      </c>
      <c r="R245" s="189">
        <v>0</v>
      </c>
      <c r="S245" s="189">
        <f t="shared" si="35"/>
        <v>8907316.4199999999</v>
      </c>
      <c r="T245" s="189">
        <f t="shared" si="27"/>
        <v>1918.5845196170292</v>
      </c>
      <c r="U245" s="189">
        <f>T245</f>
        <v>1918.5845196170292</v>
      </c>
      <c r="V245" s="170">
        <f t="shared" si="31"/>
        <v>0</v>
      </c>
      <c r="W245" s="170"/>
      <c r="X245" s="170"/>
      <c r="Y245" s="173">
        <f t="shared" si="32"/>
        <v>1855.8301831927888</v>
      </c>
      <c r="AA245" s="173">
        <f t="shared" si="28"/>
        <v>1650</v>
      </c>
      <c r="AC245" s="173" t="s">
        <v>1597</v>
      </c>
      <c r="AD245" s="173">
        <v>837.3</v>
      </c>
      <c r="AH245" s="173" t="e">
        <f t="shared" si="29"/>
        <v>#N/A</v>
      </c>
      <c r="AS245" s="173" t="e">
        <f t="shared" si="30"/>
        <v>#N/A</v>
      </c>
    </row>
    <row r="246" spans="1:45" s="173" customFormat="1" ht="36" customHeight="1" x14ac:dyDescent="0.9">
      <c r="A246" s="173">
        <v>1</v>
      </c>
      <c r="B246" s="91">
        <f>SUBTOTAL(103,$A$16:A246)</f>
        <v>226</v>
      </c>
      <c r="C246" s="90" t="s">
        <v>1208</v>
      </c>
      <c r="D246" s="185">
        <v>1956</v>
      </c>
      <c r="E246" s="185"/>
      <c r="F246" s="191" t="s">
        <v>273</v>
      </c>
      <c r="G246" s="185">
        <v>2</v>
      </c>
      <c r="H246" s="185">
        <v>2</v>
      </c>
      <c r="I246" s="189">
        <v>471.5</v>
      </c>
      <c r="J246" s="189">
        <v>326.5</v>
      </c>
      <c r="K246" s="189">
        <v>326.5</v>
      </c>
      <c r="L246" s="187">
        <v>24</v>
      </c>
      <c r="M246" s="185" t="s">
        <v>271</v>
      </c>
      <c r="N246" s="185" t="s">
        <v>275</v>
      </c>
      <c r="O246" s="188" t="s">
        <v>731</v>
      </c>
      <c r="P246" s="189">
        <v>1815587.49</v>
      </c>
      <c r="Q246" s="189">
        <v>0</v>
      </c>
      <c r="R246" s="189">
        <v>0</v>
      </c>
      <c r="S246" s="189">
        <f t="shared" si="35"/>
        <v>1815587.49</v>
      </c>
      <c r="T246" s="189">
        <f t="shared" si="27"/>
        <v>3850.6627571580061</v>
      </c>
      <c r="U246" s="189">
        <f>AG246</f>
        <v>15092.214137825418</v>
      </c>
      <c r="V246" s="170">
        <f t="shared" si="31"/>
        <v>11241.551380667412</v>
      </c>
      <c r="W246" s="170"/>
      <c r="X246" s="170"/>
      <c r="Y246" s="173" t="e">
        <f t="shared" si="32"/>
        <v>#N/A</v>
      </c>
      <c r="AA246" s="173" t="e">
        <f t="shared" si="28"/>
        <v>#N/A</v>
      </c>
      <c r="AC246" s="173" t="s">
        <v>232</v>
      </c>
      <c r="AD246" s="173">
        <v>806.38</v>
      </c>
      <c r="AG246" s="173">
        <f>AH246*6191.24/J246</f>
        <v>15092.214137825418</v>
      </c>
      <c r="AH246" s="173">
        <f t="shared" si="29"/>
        <v>795.9</v>
      </c>
      <c r="AS246" s="173" t="e">
        <f t="shared" si="30"/>
        <v>#N/A</v>
      </c>
    </row>
    <row r="247" spans="1:45" s="173" customFormat="1" ht="36" customHeight="1" x14ac:dyDescent="0.9">
      <c r="A247" s="173">
        <v>1</v>
      </c>
      <c r="B247" s="91">
        <f>SUBTOTAL(103,$A$16:A247)</f>
        <v>227</v>
      </c>
      <c r="C247" s="90" t="s">
        <v>1209</v>
      </c>
      <c r="D247" s="185">
        <v>1978</v>
      </c>
      <c r="E247" s="185"/>
      <c r="F247" s="191" t="s">
        <v>273</v>
      </c>
      <c r="G247" s="185">
        <v>9</v>
      </c>
      <c r="H247" s="185">
        <v>7</v>
      </c>
      <c r="I247" s="189">
        <v>12895.2</v>
      </c>
      <c r="J247" s="189">
        <v>12862.3</v>
      </c>
      <c r="K247" s="189">
        <v>12862.3</v>
      </c>
      <c r="L247" s="187">
        <v>495</v>
      </c>
      <c r="M247" s="185" t="s">
        <v>271</v>
      </c>
      <c r="N247" s="185" t="s">
        <v>275</v>
      </c>
      <c r="O247" s="188" t="s">
        <v>1344</v>
      </c>
      <c r="P247" s="189">
        <v>3742412.1</v>
      </c>
      <c r="Q247" s="189">
        <v>0</v>
      </c>
      <c r="R247" s="189">
        <v>0</v>
      </c>
      <c r="S247" s="189">
        <f t="shared" si="35"/>
        <v>3742412.1</v>
      </c>
      <c r="T247" s="189">
        <f t="shared" si="27"/>
        <v>290.21745300576958</v>
      </c>
      <c r="U247" s="189">
        <f>Y247</f>
        <v>772.0207286432161</v>
      </c>
      <c r="V247" s="170">
        <f t="shared" si="31"/>
        <v>481.80327563744652</v>
      </c>
      <c r="W247" s="170"/>
      <c r="X247" s="170"/>
      <c r="Y247" s="173">
        <f t="shared" si="32"/>
        <v>772.0207286432161</v>
      </c>
      <c r="AA247" s="173">
        <f t="shared" si="28"/>
        <v>1906.5</v>
      </c>
      <c r="AC247" s="173" t="s">
        <v>235</v>
      </c>
      <c r="AD247" s="173">
        <v>308.60000000000002</v>
      </c>
      <c r="AH247" s="173" t="e">
        <f t="shared" si="29"/>
        <v>#N/A</v>
      </c>
      <c r="AS247" s="173" t="e">
        <f t="shared" si="30"/>
        <v>#N/A</v>
      </c>
    </row>
    <row r="248" spans="1:45" s="173" customFormat="1" ht="36" customHeight="1" x14ac:dyDescent="0.9">
      <c r="A248" s="173">
        <v>1</v>
      </c>
      <c r="B248" s="91">
        <f>SUBTOTAL(103,$A$16:A248)</f>
        <v>228</v>
      </c>
      <c r="C248" s="90" t="s">
        <v>1213</v>
      </c>
      <c r="D248" s="185">
        <v>1982</v>
      </c>
      <c r="E248" s="185"/>
      <c r="F248" s="191" t="s">
        <v>273</v>
      </c>
      <c r="G248" s="185">
        <v>9</v>
      </c>
      <c r="H248" s="185">
        <v>2</v>
      </c>
      <c r="I248" s="189">
        <v>5661.18</v>
      </c>
      <c r="J248" s="189">
        <v>4065</v>
      </c>
      <c r="K248" s="189">
        <v>4064.58</v>
      </c>
      <c r="L248" s="187">
        <v>149</v>
      </c>
      <c r="M248" s="185" t="s">
        <v>271</v>
      </c>
      <c r="N248" s="185" t="s">
        <v>275</v>
      </c>
      <c r="O248" s="188" t="s">
        <v>730</v>
      </c>
      <c r="P248" s="189">
        <v>2296405.6799999997</v>
      </c>
      <c r="Q248" s="189">
        <v>0</v>
      </c>
      <c r="R248" s="189">
        <v>0</v>
      </c>
      <c r="S248" s="189">
        <f t="shared" si="35"/>
        <v>2296405.6799999997</v>
      </c>
      <c r="T248" s="189">
        <f t="shared" si="27"/>
        <v>405.64081693215894</v>
      </c>
      <c r="U248" s="189">
        <v>502.65999999999997</v>
      </c>
      <c r="V248" s="170">
        <f t="shared" si="31"/>
        <v>97.019183067841027</v>
      </c>
      <c r="W248" s="170"/>
      <c r="X248" s="170"/>
      <c r="Y248" s="173" t="e">
        <f t="shared" si="32"/>
        <v>#N/A</v>
      </c>
      <c r="AA248" s="173" t="e">
        <f t="shared" si="28"/>
        <v>#N/A</v>
      </c>
      <c r="AC248" s="173" t="s">
        <v>1319</v>
      </c>
      <c r="AD248" s="173">
        <v>735</v>
      </c>
      <c r="AH248" s="173" t="e">
        <f t="shared" si="29"/>
        <v>#N/A</v>
      </c>
      <c r="AS248" s="173" t="e">
        <f t="shared" si="30"/>
        <v>#N/A</v>
      </c>
    </row>
    <row r="249" spans="1:45" s="173" customFormat="1" ht="36" customHeight="1" x14ac:dyDescent="0.9">
      <c r="A249" s="173">
        <v>1</v>
      </c>
      <c r="B249" s="91">
        <f>SUBTOTAL(103,$A$16:A249)</f>
        <v>229</v>
      </c>
      <c r="C249" s="90" t="s">
        <v>1214</v>
      </c>
      <c r="D249" s="185">
        <v>1978</v>
      </c>
      <c r="E249" s="185"/>
      <c r="F249" s="191" t="s">
        <v>273</v>
      </c>
      <c r="G249" s="185">
        <v>5</v>
      </c>
      <c r="H249" s="185">
        <v>6</v>
      </c>
      <c r="I249" s="189">
        <v>6106.27</v>
      </c>
      <c r="J249" s="189">
        <v>4494</v>
      </c>
      <c r="K249" s="189">
        <v>4493.7700000000004</v>
      </c>
      <c r="L249" s="187">
        <v>207</v>
      </c>
      <c r="M249" s="185" t="s">
        <v>271</v>
      </c>
      <c r="N249" s="185" t="s">
        <v>275</v>
      </c>
      <c r="O249" s="188" t="s">
        <v>730</v>
      </c>
      <c r="P249" s="189">
        <v>4766824.05</v>
      </c>
      <c r="Q249" s="189">
        <v>0</v>
      </c>
      <c r="R249" s="189">
        <v>0</v>
      </c>
      <c r="S249" s="189">
        <f t="shared" si="35"/>
        <v>4766824.05</v>
      </c>
      <c r="T249" s="189">
        <f t="shared" si="27"/>
        <v>780.64416575094117</v>
      </c>
      <c r="U249" s="189">
        <f>Y249</f>
        <v>1081.7353520234119</v>
      </c>
      <c r="V249" s="170">
        <f t="shared" si="31"/>
        <v>301.09118627247074</v>
      </c>
      <c r="W249" s="170"/>
      <c r="X249" s="170"/>
      <c r="Y249" s="173">
        <f t="shared" si="32"/>
        <v>1081.7353520234119</v>
      </c>
      <c r="AA249" s="173">
        <f t="shared" si="28"/>
        <v>1264.96</v>
      </c>
      <c r="AC249" s="173" t="s">
        <v>141</v>
      </c>
      <c r="AD249" s="173">
        <v>980</v>
      </c>
      <c r="AH249" s="173" t="e">
        <f t="shared" si="29"/>
        <v>#N/A</v>
      </c>
      <c r="AS249" s="173" t="e">
        <f t="shared" si="30"/>
        <v>#N/A</v>
      </c>
    </row>
    <row r="250" spans="1:45" s="173" customFormat="1" ht="36" customHeight="1" x14ac:dyDescent="0.9">
      <c r="A250" s="173">
        <v>1</v>
      </c>
      <c r="B250" s="91">
        <f>SUBTOTAL(103,$A$16:A250)</f>
        <v>230</v>
      </c>
      <c r="C250" s="90" t="s">
        <v>1215</v>
      </c>
      <c r="D250" s="185">
        <v>1905</v>
      </c>
      <c r="E250" s="185"/>
      <c r="F250" s="191" t="s">
        <v>338</v>
      </c>
      <c r="G250" s="185">
        <v>2</v>
      </c>
      <c r="H250" s="185">
        <v>2</v>
      </c>
      <c r="I250" s="189">
        <v>1065.5</v>
      </c>
      <c r="J250" s="189">
        <v>510.7</v>
      </c>
      <c r="K250" s="189">
        <v>510.7</v>
      </c>
      <c r="L250" s="187">
        <v>18</v>
      </c>
      <c r="M250" s="185" t="s">
        <v>271</v>
      </c>
      <c r="N250" s="185" t="s">
        <v>275</v>
      </c>
      <c r="O250" s="188" t="s">
        <v>1343</v>
      </c>
      <c r="P250" s="189">
        <v>1562740.68</v>
      </c>
      <c r="Q250" s="189">
        <v>0</v>
      </c>
      <c r="R250" s="189">
        <v>0</v>
      </c>
      <c r="S250" s="189">
        <f t="shared" si="35"/>
        <v>1562740.68</v>
      </c>
      <c r="T250" s="189">
        <f t="shared" si="27"/>
        <v>1466.6735617081181</v>
      </c>
      <c r="U250" s="189">
        <v>8911.6543219145933</v>
      </c>
      <c r="V250" s="170">
        <f t="shared" si="31"/>
        <v>7444.9807602064757</v>
      </c>
      <c r="W250" s="170"/>
      <c r="X250" s="170"/>
      <c r="Y250" s="173" t="e">
        <f t="shared" si="32"/>
        <v>#N/A</v>
      </c>
      <c r="AA250" s="173" t="e">
        <f t="shared" si="28"/>
        <v>#N/A</v>
      </c>
      <c r="AC250" s="173" t="s">
        <v>146</v>
      </c>
      <c r="AD250" s="173">
        <v>629.09712090000005</v>
      </c>
      <c r="AH250" s="173" t="e">
        <f t="shared" si="29"/>
        <v>#N/A</v>
      </c>
      <c r="AS250" s="173" t="e">
        <f t="shared" si="30"/>
        <v>#N/A</v>
      </c>
    </row>
    <row r="251" spans="1:45" s="173" customFormat="1" ht="36" customHeight="1" x14ac:dyDescent="0.9">
      <c r="A251" s="173">
        <v>1</v>
      </c>
      <c r="B251" s="91">
        <f>SUBTOTAL(103,$A$16:A251)</f>
        <v>231</v>
      </c>
      <c r="C251" s="90" t="s">
        <v>1216</v>
      </c>
      <c r="D251" s="185">
        <v>1937</v>
      </c>
      <c r="E251" s="185"/>
      <c r="F251" s="191" t="s">
        <v>273</v>
      </c>
      <c r="G251" s="185">
        <v>3</v>
      </c>
      <c r="H251" s="185">
        <v>2</v>
      </c>
      <c r="I251" s="189">
        <v>1633.4</v>
      </c>
      <c r="J251" s="189">
        <v>1633.4</v>
      </c>
      <c r="K251" s="189">
        <v>1485.5</v>
      </c>
      <c r="L251" s="187">
        <v>51</v>
      </c>
      <c r="M251" s="185" t="s">
        <v>271</v>
      </c>
      <c r="N251" s="185" t="s">
        <v>289</v>
      </c>
      <c r="O251" s="188" t="s">
        <v>274</v>
      </c>
      <c r="P251" s="189">
        <v>3767844.52</v>
      </c>
      <c r="Q251" s="189">
        <v>0</v>
      </c>
      <c r="R251" s="189">
        <v>0</v>
      </c>
      <c r="S251" s="189">
        <f t="shared" si="35"/>
        <v>3767844.52</v>
      </c>
      <c r="T251" s="189">
        <f t="shared" si="27"/>
        <v>2306.7494306354843</v>
      </c>
      <c r="U251" s="189">
        <f>Y251</f>
        <v>2496.7710297538874</v>
      </c>
      <c r="V251" s="170">
        <f t="shared" si="31"/>
        <v>190.02159911840317</v>
      </c>
      <c r="W251" s="170"/>
      <c r="X251" s="170"/>
      <c r="Y251" s="173">
        <f t="shared" si="32"/>
        <v>2496.7710297538874</v>
      </c>
      <c r="AA251" s="173">
        <f t="shared" si="28"/>
        <v>781</v>
      </c>
      <c r="AC251" s="173" t="s">
        <v>145</v>
      </c>
      <c r="AD251" s="173">
        <v>317.8</v>
      </c>
      <c r="AH251" s="173" t="e">
        <f t="shared" si="29"/>
        <v>#N/A</v>
      </c>
      <c r="AS251" s="173" t="e">
        <f t="shared" si="30"/>
        <v>#N/A</v>
      </c>
    </row>
    <row r="252" spans="1:45" s="173" customFormat="1" ht="36" customHeight="1" x14ac:dyDescent="0.9">
      <c r="A252" s="173">
        <v>1</v>
      </c>
      <c r="B252" s="91">
        <f>SUBTOTAL(103,$A$16:A252)</f>
        <v>232</v>
      </c>
      <c r="C252" s="90" t="s">
        <v>1217</v>
      </c>
      <c r="D252" s="185">
        <v>1973</v>
      </c>
      <c r="E252" s="185"/>
      <c r="F252" s="191" t="s">
        <v>273</v>
      </c>
      <c r="G252" s="185">
        <v>5</v>
      </c>
      <c r="H252" s="185">
        <v>6</v>
      </c>
      <c r="I252" s="189">
        <v>4829.54</v>
      </c>
      <c r="J252" s="189">
        <v>4363.6400000000003</v>
      </c>
      <c r="K252" s="189">
        <v>4363.6400000000003</v>
      </c>
      <c r="L252" s="187">
        <v>198</v>
      </c>
      <c r="M252" s="185" t="s">
        <v>271</v>
      </c>
      <c r="N252" s="185" t="s">
        <v>275</v>
      </c>
      <c r="O252" s="188" t="s">
        <v>728</v>
      </c>
      <c r="P252" s="189">
        <v>6209520.0999999996</v>
      </c>
      <c r="Q252" s="189">
        <v>0</v>
      </c>
      <c r="R252" s="189">
        <v>0</v>
      </c>
      <c r="S252" s="189">
        <f t="shared" si="35"/>
        <v>6209520.0999999996</v>
      </c>
      <c r="T252" s="189">
        <f t="shared" si="27"/>
        <v>1285.7373787151571</v>
      </c>
      <c r="U252" s="189">
        <f>Y252</f>
        <v>2242.3442025534528</v>
      </c>
      <c r="V252" s="170">
        <f t="shared" si="31"/>
        <v>956.60682383829567</v>
      </c>
      <c r="W252" s="170"/>
      <c r="X252" s="170"/>
      <c r="Y252" s="173">
        <f t="shared" si="32"/>
        <v>2242.3442025534528</v>
      </c>
      <c r="AA252" s="173">
        <f t="shared" si="28"/>
        <v>2073.9</v>
      </c>
      <c r="AC252" s="173" t="s">
        <v>1290</v>
      </c>
      <c r="AD252" s="173">
        <v>189.8</v>
      </c>
      <c r="AH252" s="173" t="e">
        <f t="shared" si="29"/>
        <v>#N/A</v>
      </c>
      <c r="AS252" s="173" t="e">
        <f t="shared" si="30"/>
        <v>#N/A</v>
      </c>
    </row>
    <row r="253" spans="1:45" s="173" customFormat="1" ht="36" customHeight="1" x14ac:dyDescent="0.9">
      <c r="A253" s="173">
        <v>1</v>
      </c>
      <c r="B253" s="91">
        <f>SUBTOTAL(103,$A$16:A253)</f>
        <v>233</v>
      </c>
      <c r="C253" s="90" t="s">
        <v>1218</v>
      </c>
      <c r="D253" s="185">
        <v>1957</v>
      </c>
      <c r="E253" s="185"/>
      <c r="F253" s="191" t="s">
        <v>273</v>
      </c>
      <c r="G253" s="185">
        <v>2</v>
      </c>
      <c r="H253" s="185">
        <v>2</v>
      </c>
      <c r="I253" s="189">
        <v>497.1</v>
      </c>
      <c r="J253" s="189">
        <v>442.9</v>
      </c>
      <c r="K253" s="189">
        <v>442.9</v>
      </c>
      <c r="L253" s="187">
        <v>20</v>
      </c>
      <c r="M253" s="185" t="s">
        <v>271</v>
      </c>
      <c r="N253" s="185" t="s">
        <v>275</v>
      </c>
      <c r="O253" s="188" t="s">
        <v>1343</v>
      </c>
      <c r="P253" s="189">
        <v>732022.04</v>
      </c>
      <c r="Q253" s="189">
        <v>0</v>
      </c>
      <c r="R253" s="189">
        <v>0</v>
      </c>
      <c r="S253" s="189">
        <f t="shared" si="35"/>
        <v>732022.04</v>
      </c>
      <c r="T253" s="189">
        <f t="shared" si="27"/>
        <v>1472.58507342587</v>
      </c>
      <c r="U253" s="189">
        <v>2928.86</v>
      </c>
      <c r="V253" s="170">
        <f t="shared" si="31"/>
        <v>1456.2749265741302</v>
      </c>
      <c r="W253" s="170"/>
      <c r="X253" s="170"/>
      <c r="Y253" s="173" t="e">
        <f t="shared" si="32"/>
        <v>#N/A</v>
      </c>
      <c r="AA253" s="173" t="e">
        <f t="shared" si="28"/>
        <v>#N/A</v>
      </c>
      <c r="AC253" s="173" t="s">
        <v>1325</v>
      </c>
      <c r="AD253" s="173">
        <v>596.79999999999995</v>
      </c>
      <c r="AH253" s="173" t="e">
        <f t="shared" si="29"/>
        <v>#N/A</v>
      </c>
      <c r="AS253" s="173" t="e">
        <f t="shared" si="30"/>
        <v>#N/A</v>
      </c>
    </row>
    <row r="254" spans="1:45" s="173" customFormat="1" ht="36" customHeight="1" x14ac:dyDescent="0.9">
      <c r="A254" s="173">
        <v>1</v>
      </c>
      <c r="B254" s="91">
        <f>SUBTOTAL(103,$A$16:A254)</f>
        <v>234</v>
      </c>
      <c r="C254" s="90" t="s">
        <v>1219</v>
      </c>
      <c r="D254" s="185">
        <v>1967</v>
      </c>
      <c r="E254" s="185"/>
      <c r="F254" s="191" t="s">
        <v>273</v>
      </c>
      <c r="G254" s="185">
        <v>5</v>
      </c>
      <c r="H254" s="185">
        <v>4</v>
      </c>
      <c r="I254" s="189">
        <v>5485.29</v>
      </c>
      <c r="J254" s="189">
        <v>3346.19</v>
      </c>
      <c r="K254" s="189">
        <v>3346.19</v>
      </c>
      <c r="L254" s="187">
        <v>139</v>
      </c>
      <c r="M254" s="185" t="s">
        <v>271</v>
      </c>
      <c r="N254" s="185" t="s">
        <v>275</v>
      </c>
      <c r="O254" s="188" t="s">
        <v>1343</v>
      </c>
      <c r="P254" s="189">
        <v>4782270.82</v>
      </c>
      <c r="Q254" s="189">
        <v>0</v>
      </c>
      <c r="R254" s="189">
        <v>0</v>
      </c>
      <c r="S254" s="189">
        <f t="shared" si="35"/>
        <v>4782270.82</v>
      </c>
      <c r="T254" s="189">
        <f t="shared" si="27"/>
        <v>871.83554925992985</v>
      </c>
      <c r="U254" s="189">
        <f>Y254</f>
        <v>1117.7773871572881</v>
      </c>
      <c r="V254" s="170">
        <f t="shared" si="31"/>
        <v>245.94183789735825</v>
      </c>
      <c r="W254" s="170"/>
      <c r="X254" s="170"/>
      <c r="Y254" s="173">
        <f t="shared" si="32"/>
        <v>1117.7773871572881</v>
      </c>
      <c r="AA254" s="173">
        <f t="shared" si="28"/>
        <v>1174.18</v>
      </c>
      <c r="AC254" s="173" t="s">
        <v>147</v>
      </c>
      <c r="AD254" s="173">
        <v>1525.2</v>
      </c>
      <c r="AH254" s="173" t="e">
        <f t="shared" si="29"/>
        <v>#N/A</v>
      </c>
      <c r="AS254" s="173" t="e">
        <f t="shared" si="30"/>
        <v>#N/A</v>
      </c>
    </row>
    <row r="255" spans="1:45" s="173" customFormat="1" ht="36" customHeight="1" x14ac:dyDescent="0.9">
      <c r="A255" s="173">
        <v>1</v>
      </c>
      <c r="B255" s="91">
        <f>SUBTOTAL(103,$A$16:A255)</f>
        <v>235</v>
      </c>
      <c r="C255" s="90" t="s">
        <v>1220</v>
      </c>
      <c r="D255" s="185">
        <v>1990</v>
      </c>
      <c r="E255" s="185"/>
      <c r="F255" s="191" t="s">
        <v>273</v>
      </c>
      <c r="G255" s="185">
        <v>2</v>
      </c>
      <c r="H255" s="185">
        <v>2</v>
      </c>
      <c r="I255" s="189">
        <v>568.29999999999995</v>
      </c>
      <c r="J255" s="189">
        <v>317</v>
      </c>
      <c r="K255" s="189">
        <v>257.10000000000002</v>
      </c>
      <c r="L255" s="187">
        <v>31</v>
      </c>
      <c r="M255" s="185" t="s">
        <v>271</v>
      </c>
      <c r="N255" s="185" t="s">
        <v>272</v>
      </c>
      <c r="O255" s="188" t="s">
        <v>274</v>
      </c>
      <c r="P255" s="189">
        <v>2613308.5</v>
      </c>
      <c r="Q255" s="189">
        <v>0</v>
      </c>
      <c r="R255" s="189">
        <v>0</v>
      </c>
      <c r="S255" s="189">
        <f t="shared" si="35"/>
        <v>2613308.5</v>
      </c>
      <c r="T255" s="189">
        <f t="shared" si="27"/>
        <v>4598.4664789723738</v>
      </c>
      <c r="U255" s="189">
        <f>T255</f>
        <v>4598.4664789723738</v>
      </c>
      <c r="V255" s="170">
        <f t="shared" si="31"/>
        <v>0</v>
      </c>
      <c r="W255" s="170"/>
      <c r="X255" s="170"/>
      <c r="Y255" s="173">
        <f t="shared" si="32"/>
        <v>4447.213091676932</v>
      </c>
      <c r="AA255" s="173">
        <f t="shared" si="28"/>
        <v>484</v>
      </c>
      <c r="AC255" s="173" t="s">
        <v>142</v>
      </c>
      <c r="AD255" s="173">
        <v>1140</v>
      </c>
      <c r="AH255" s="173" t="e">
        <f t="shared" si="29"/>
        <v>#N/A</v>
      </c>
      <c r="AS255" s="173" t="e">
        <f t="shared" si="30"/>
        <v>#N/A</v>
      </c>
    </row>
    <row r="256" spans="1:45" s="173" customFormat="1" ht="36" customHeight="1" x14ac:dyDescent="0.9">
      <c r="A256" s="173">
        <v>1</v>
      </c>
      <c r="B256" s="91">
        <f>SUBTOTAL(103,$A$16:A256)</f>
        <v>236</v>
      </c>
      <c r="C256" s="90" t="s">
        <v>1380</v>
      </c>
      <c r="D256" s="185">
        <v>1970</v>
      </c>
      <c r="E256" s="185"/>
      <c r="F256" s="191" t="s">
        <v>273</v>
      </c>
      <c r="G256" s="185">
        <v>2</v>
      </c>
      <c r="H256" s="185">
        <v>2</v>
      </c>
      <c r="I256" s="189">
        <v>973.3</v>
      </c>
      <c r="J256" s="189">
        <v>527.20000000000005</v>
      </c>
      <c r="K256" s="189">
        <v>421.80000000000007</v>
      </c>
      <c r="L256" s="187">
        <v>26</v>
      </c>
      <c r="M256" s="185" t="s">
        <v>271</v>
      </c>
      <c r="N256" s="185" t="s">
        <v>275</v>
      </c>
      <c r="O256" s="188" t="s">
        <v>1108</v>
      </c>
      <c r="P256" s="189">
        <v>2732414.26</v>
      </c>
      <c r="Q256" s="189">
        <v>0</v>
      </c>
      <c r="R256" s="189">
        <v>0</v>
      </c>
      <c r="S256" s="189">
        <f t="shared" si="35"/>
        <v>2732414.26</v>
      </c>
      <c r="T256" s="189">
        <f t="shared" si="27"/>
        <v>2807.3710675023117</v>
      </c>
      <c r="U256" s="189">
        <f>T256</f>
        <v>2807.3710675023117</v>
      </c>
      <c r="V256" s="170">
        <f t="shared" si="31"/>
        <v>0</v>
      </c>
      <c r="W256" s="170"/>
      <c r="X256" s="170"/>
      <c r="Y256" s="173">
        <f t="shared" si="32"/>
        <v>2356.4894832014797</v>
      </c>
      <c r="AA256" s="173">
        <f t="shared" si="28"/>
        <v>439.23</v>
      </c>
      <c r="AC256" s="173" t="s">
        <v>143</v>
      </c>
      <c r="AD256" s="173">
        <v>1373.6</v>
      </c>
      <c r="AH256" s="173" t="e">
        <f t="shared" si="29"/>
        <v>#N/A</v>
      </c>
      <c r="AS256" s="173" t="e">
        <f t="shared" si="30"/>
        <v>#N/A</v>
      </c>
    </row>
    <row r="257" spans="1:45" s="173" customFormat="1" ht="36" customHeight="1" x14ac:dyDescent="0.9">
      <c r="A257" s="173">
        <v>1</v>
      </c>
      <c r="B257" s="91">
        <f>SUBTOTAL(103,$A$16:A257)</f>
        <v>237</v>
      </c>
      <c r="C257" s="90" t="s">
        <v>1379</v>
      </c>
      <c r="D257" s="185">
        <v>1984</v>
      </c>
      <c r="E257" s="185"/>
      <c r="F257" s="191" t="s">
        <v>326</v>
      </c>
      <c r="G257" s="185">
        <v>2</v>
      </c>
      <c r="H257" s="185">
        <v>2</v>
      </c>
      <c r="I257" s="189">
        <v>622.79999999999995</v>
      </c>
      <c r="J257" s="189">
        <v>560.29999999999995</v>
      </c>
      <c r="K257" s="189">
        <v>468.99999999999994</v>
      </c>
      <c r="L257" s="187">
        <v>31</v>
      </c>
      <c r="M257" s="185" t="s">
        <v>271</v>
      </c>
      <c r="N257" s="185" t="s">
        <v>275</v>
      </c>
      <c r="O257" s="188" t="s">
        <v>1344</v>
      </c>
      <c r="P257" s="189">
        <v>2367728.1</v>
      </c>
      <c r="Q257" s="189">
        <v>0</v>
      </c>
      <c r="R257" s="189">
        <v>0</v>
      </c>
      <c r="S257" s="189">
        <f t="shared" si="35"/>
        <v>2367728.1</v>
      </c>
      <c r="T257" s="189">
        <f t="shared" si="27"/>
        <v>3801.7471098265901</v>
      </c>
      <c r="U257" s="189">
        <f>T257</f>
        <v>3801.7471098265901</v>
      </c>
      <c r="V257" s="170">
        <f t="shared" si="31"/>
        <v>0</v>
      </c>
      <c r="W257" s="170"/>
      <c r="X257" s="170"/>
      <c r="Y257" s="173">
        <f t="shared" si="32"/>
        <v>4396.943410404624</v>
      </c>
      <c r="AA257" s="173">
        <f t="shared" si="28"/>
        <v>524.41999999999996</v>
      </c>
      <c r="AC257" s="173" t="s">
        <v>1311</v>
      </c>
      <c r="AD257" s="173">
        <v>500</v>
      </c>
      <c r="AH257" s="173" t="e">
        <f t="shared" si="29"/>
        <v>#N/A</v>
      </c>
      <c r="AS257" s="173" t="e">
        <f t="shared" si="30"/>
        <v>#N/A</v>
      </c>
    </row>
    <row r="258" spans="1:45" s="173" customFormat="1" ht="36" customHeight="1" x14ac:dyDescent="0.9">
      <c r="A258" s="173">
        <v>1</v>
      </c>
      <c r="B258" s="91">
        <f>SUBTOTAL(103,$A$16:A258)</f>
        <v>238</v>
      </c>
      <c r="C258" s="90" t="s">
        <v>1601</v>
      </c>
      <c r="D258" s="185">
        <v>1965</v>
      </c>
      <c r="E258" s="185"/>
      <c r="F258" s="191" t="s">
        <v>1620</v>
      </c>
      <c r="G258" s="185">
        <v>5</v>
      </c>
      <c r="H258" s="185">
        <v>3</v>
      </c>
      <c r="I258" s="189">
        <v>4032.79</v>
      </c>
      <c r="J258" s="189">
        <v>2461.89</v>
      </c>
      <c r="K258" s="189">
        <f>J258-184.4</f>
        <v>2277.4899999999998</v>
      </c>
      <c r="L258" s="187">
        <v>120</v>
      </c>
      <c r="M258" s="185" t="s">
        <v>271</v>
      </c>
      <c r="N258" s="185" t="s">
        <v>275</v>
      </c>
      <c r="O258" s="188" t="s">
        <v>730</v>
      </c>
      <c r="P258" s="189">
        <v>6349239.9500000002</v>
      </c>
      <c r="Q258" s="189">
        <v>0</v>
      </c>
      <c r="R258" s="189">
        <v>0</v>
      </c>
      <c r="S258" s="189">
        <f>P258-R258-Q258</f>
        <v>6349239.9500000002</v>
      </c>
      <c r="T258" s="189">
        <f t="shared" si="27"/>
        <v>1574.4038122490881</v>
      </c>
      <c r="U258" s="189">
        <f>T258</f>
        <v>1574.4038122490881</v>
      </c>
      <c r="V258" s="170">
        <f t="shared" si="31"/>
        <v>0</v>
      </c>
      <c r="W258" s="170"/>
      <c r="X258" s="170"/>
      <c r="Y258" s="173">
        <f t="shared" si="32"/>
        <v>1308.4313589351293</v>
      </c>
      <c r="AA258" s="173">
        <f t="shared" si="28"/>
        <v>1010.5</v>
      </c>
      <c r="AC258" s="173" t="s">
        <v>1312</v>
      </c>
      <c r="AD258" s="173">
        <v>958</v>
      </c>
      <c r="AH258" s="173" t="e">
        <f t="shared" si="29"/>
        <v>#N/A</v>
      </c>
      <c r="AS258" s="173" t="e">
        <f t="shared" si="30"/>
        <v>#N/A</v>
      </c>
    </row>
    <row r="259" spans="1:45" s="173" customFormat="1" ht="36" customHeight="1" x14ac:dyDescent="0.9">
      <c r="B259" s="90" t="s">
        <v>841</v>
      </c>
      <c r="C259" s="90"/>
      <c r="D259" s="185" t="s">
        <v>915</v>
      </c>
      <c r="E259" s="185" t="s">
        <v>915</v>
      </c>
      <c r="F259" s="185" t="s">
        <v>915</v>
      </c>
      <c r="G259" s="185" t="s">
        <v>915</v>
      </c>
      <c r="H259" s="185" t="s">
        <v>915</v>
      </c>
      <c r="I259" s="186">
        <f>SUM(I260:I266)</f>
        <v>42597.2</v>
      </c>
      <c r="J259" s="186">
        <f>SUM(J260:J266)</f>
        <v>27019.800000000003</v>
      </c>
      <c r="K259" s="186">
        <f>SUM(K260:K266)</f>
        <v>25949.5</v>
      </c>
      <c r="L259" s="187">
        <f>SUM(L260:L266)</f>
        <v>1169</v>
      </c>
      <c r="M259" s="185" t="s">
        <v>915</v>
      </c>
      <c r="N259" s="185" t="s">
        <v>915</v>
      </c>
      <c r="O259" s="188" t="s">
        <v>915</v>
      </c>
      <c r="P259" s="189">
        <v>31393292.599999998</v>
      </c>
      <c r="Q259" s="189">
        <f>SUM(Q260:Q266)</f>
        <v>0</v>
      </c>
      <c r="R259" s="189">
        <f>SUM(R260:R266)</f>
        <v>0</v>
      </c>
      <c r="S259" s="189">
        <f>SUM(S260:S266)</f>
        <v>31393292.599999998</v>
      </c>
      <c r="T259" s="189">
        <f t="shared" si="27"/>
        <v>736.98019118627519</v>
      </c>
      <c r="U259" s="189">
        <f>MAX(U260:U266)</f>
        <v>3255.8500000000004</v>
      </c>
      <c r="V259" s="170">
        <f t="shared" si="31"/>
        <v>2518.8698088137253</v>
      </c>
      <c r="W259" s="170"/>
      <c r="X259" s="170"/>
      <c r="Y259" s="173" t="e">
        <f t="shared" si="32"/>
        <v>#N/A</v>
      </c>
      <c r="AA259" s="173" t="e">
        <f t="shared" si="28"/>
        <v>#N/A</v>
      </c>
      <c r="AC259" s="173" t="s">
        <v>1604</v>
      </c>
      <c r="AD259" s="173">
        <v>524.36</v>
      </c>
      <c r="AH259" s="173" t="e">
        <f t="shared" si="29"/>
        <v>#N/A</v>
      </c>
      <c r="AS259" s="173" t="e">
        <f t="shared" si="30"/>
        <v>#N/A</v>
      </c>
    </row>
    <row r="260" spans="1:45" s="173" customFormat="1" ht="36" customHeight="1" x14ac:dyDescent="0.9">
      <c r="A260" s="173">
        <v>1</v>
      </c>
      <c r="B260" s="91">
        <f>SUBTOTAL(103,$A$16:A260)</f>
        <v>239</v>
      </c>
      <c r="C260" s="90" t="s">
        <v>657</v>
      </c>
      <c r="D260" s="185">
        <v>1981</v>
      </c>
      <c r="E260" s="185"/>
      <c r="F260" s="191" t="s">
        <v>319</v>
      </c>
      <c r="G260" s="185">
        <v>5</v>
      </c>
      <c r="H260" s="185">
        <v>7</v>
      </c>
      <c r="I260" s="189">
        <v>9132.7000000000007</v>
      </c>
      <c r="J260" s="189">
        <v>5349.7</v>
      </c>
      <c r="K260" s="189">
        <v>5077.8999999999996</v>
      </c>
      <c r="L260" s="187">
        <v>233</v>
      </c>
      <c r="M260" s="185" t="s">
        <v>271</v>
      </c>
      <c r="N260" s="185" t="s">
        <v>275</v>
      </c>
      <c r="O260" s="188" t="s">
        <v>733</v>
      </c>
      <c r="P260" s="189">
        <v>7597136.8899999997</v>
      </c>
      <c r="Q260" s="189">
        <v>0</v>
      </c>
      <c r="R260" s="189">
        <v>0</v>
      </c>
      <c r="S260" s="189">
        <f t="shared" ref="S260:S266" si="36">P260-Q260-R260</f>
        <v>7597136.8899999997</v>
      </c>
      <c r="T260" s="189">
        <f t="shared" si="27"/>
        <v>831.86099291556707</v>
      </c>
      <c r="U260" s="189">
        <f>T260</f>
        <v>831.86099291556707</v>
      </c>
      <c r="V260" s="170">
        <f t="shared" si="31"/>
        <v>0</v>
      </c>
      <c r="W260" s="170"/>
      <c r="X260" s="170"/>
      <c r="Y260" s="173">
        <f t="shared" si="32"/>
        <v>800.08288436059422</v>
      </c>
      <c r="AA260" s="173">
        <f t="shared" si="28"/>
        <v>1399.31</v>
      </c>
      <c r="AC260" s="173" t="s">
        <v>153</v>
      </c>
      <c r="AD260" s="173">
        <v>833.9</v>
      </c>
      <c r="AH260" s="173" t="e">
        <f t="shared" si="29"/>
        <v>#N/A</v>
      </c>
      <c r="AS260" s="173" t="e">
        <f t="shared" si="30"/>
        <v>#N/A</v>
      </c>
    </row>
    <row r="261" spans="1:45" s="173" customFormat="1" ht="36" customHeight="1" x14ac:dyDescent="0.9">
      <c r="A261" s="173">
        <v>1</v>
      </c>
      <c r="B261" s="91">
        <f>SUBTOTAL(103,$A$16:A261)</f>
        <v>240</v>
      </c>
      <c r="C261" s="90" t="s">
        <v>663</v>
      </c>
      <c r="D261" s="185">
        <v>1987</v>
      </c>
      <c r="E261" s="185"/>
      <c r="F261" s="191" t="s">
        <v>273</v>
      </c>
      <c r="G261" s="185">
        <v>5</v>
      </c>
      <c r="H261" s="185">
        <v>6</v>
      </c>
      <c r="I261" s="189">
        <v>7301.9</v>
      </c>
      <c r="J261" s="189">
        <v>3931.5</v>
      </c>
      <c r="K261" s="189">
        <v>3739.7</v>
      </c>
      <c r="L261" s="187">
        <v>187</v>
      </c>
      <c r="M261" s="185" t="s">
        <v>271</v>
      </c>
      <c r="N261" s="185" t="s">
        <v>275</v>
      </c>
      <c r="O261" s="188" t="s">
        <v>733</v>
      </c>
      <c r="P261" s="189">
        <v>6332587.8299999991</v>
      </c>
      <c r="Q261" s="189">
        <v>0</v>
      </c>
      <c r="R261" s="189">
        <v>0</v>
      </c>
      <c r="S261" s="189">
        <f t="shared" si="36"/>
        <v>6332587.8299999991</v>
      </c>
      <c r="T261" s="189">
        <f t="shared" si="27"/>
        <v>867.25206179213626</v>
      </c>
      <c r="U261" s="189">
        <f>T261</f>
        <v>867.25206179213626</v>
      </c>
      <c r="V261" s="170">
        <f t="shared" si="31"/>
        <v>0</v>
      </c>
      <c r="W261" s="170"/>
      <c r="X261" s="170"/>
      <c r="Y261" s="173">
        <f t="shared" si="32"/>
        <v>802.73223407606247</v>
      </c>
      <c r="AA261" s="173">
        <f t="shared" si="28"/>
        <v>1122.5</v>
      </c>
      <c r="AC261" s="173" t="s">
        <v>154</v>
      </c>
      <c r="AD261" s="173">
        <v>1035.9000000000001</v>
      </c>
      <c r="AH261" s="173" t="e">
        <f t="shared" si="29"/>
        <v>#N/A</v>
      </c>
      <c r="AS261" s="173" t="e">
        <f t="shared" si="30"/>
        <v>#N/A</v>
      </c>
    </row>
    <row r="262" spans="1:45" s="173" customFormat="1" ht="36" customHeight="1" x14ac:dyDescent="0.9">
      <c r="A262" s="173">
        <v>1</v>
      </c>
      <c r="B262" s="91">
        <f>SUBTOTAL(103,$A$16:A262)</f>
        <v>241</v>
      </c>
      <c r="C262" s="90" t="s">
        <v>1221</v>
      </c>
      <c r="D262" s="185">
        <v>2001</v>
      </c>
      <c r="E262" s="185"/>
      <c r="F262" s="191" t="s">
        <v>273</v>
      </c>
      <c r="G262" s="185">
        <v>5</v>
      </c>
      <c r="H262" s="185">
        <v>5</v>
      </c>
      <c r="I262" s="189">
        <v>6333.9</v>
      </c>
      <c r="J262" s="189">
        <v>3627.6</v>
      </c>
      <c r="K262" s="189">
        <v>3627.6</v>
      </c>
      <c r="L262" s="187">
        <v>159</v>
      </c>
      <c r="M262" s="185" t="s">
        <v>271</v>
      </c>
      <c r="N262" s="185" t="s">
        <v>275</v>
      </c>
      <c r="O262" s="188" t="s">
        <v>733</v>
      </c>
      <c r="P262" s="189">
        <v>5003194.3900000006</v>
      </c>
      <c r="Q262" s="189">
        <v>0</v>
      </c>
      <c r="R262" s="189">
        <v>0</v>
      </c>
      <c r="S262" s="189">
        <f t="shared" si="36"/>
        <v>5003194.3900000006</v>
      </c>
      <c r="T262" s="189">
        <f t="shared" si="27"/>
        <v>789.90738565496781</v>
      </c>
      <c r="U262" s="189">
        <f>Y262</f>
        <v>957.15274949083505</v>
      </c>
      <c r="V262" s="170">
        <f t="shared" si="31"/>
        <v>167.24536383586724</v>
      </c>
      <c r="W262" s="170"/>
      <c r="X262" s="170"/>
      <c r="Y262" s="173">
        <f t="shared" si="32"/>
        <v>957.15274949083505</v>
      </c>
      <c r="AA262" s="173">
        <f t="shared" si="28"/>
        <v>1161</v>
      </c>
      <c r="AC262" s="173" t="s">
        <v>138</v>
      </c>
      <c r="AD262" s="173">
        <v>1062.4000000000001</v>
      </c>
      <c r="AH262" s="173" t="e">
        <f t="shared" si="29"/>
        <v>#N/A</v>
      </c>
      <c r="AS262" s="173" t="e">
        <f t="shared" si="30"/>
        <v>#N/A</v>
      </c>
    </row>
    <row r="263" spans="1:45" s="173" customFormat="1" ht="36" customHeight="1" x14ac:dyDescent="0.9">
      <c r="A263" s="173">
        <v>1</v>
      </c>
      <c r="B263" s="91">
        <f>SUBTOTAL(103,$A$16:A263)</f>
        <v>242</v>
      </c>
      <c r="C263" s="90" t="s">
        <v>1222</v>
      </c>
      <c r="D263" s="185">
        <v>1989</v>
      </c>
      <c r="E263" s="185">
        <v>2015</v>
      </c>
      <c r="F263" s="191" t="s">
        <v>273</v>
      </c>
      <c r="G263" s="185">
        <v>9</v>
      </c>
      <c r="H263" s="185">
        <v>2</v>
      </c>
      <c r="I263" s="189">
        <v>6378.8</v>
      </c>
      <c r="J263" s="189">
        <v>3627.7</v>
      </c>
      <c r="K263" s="189">
        <v>3459.6</v>
      </c>
      <c r="L263" s="187">
        <v>186</v>
      </c>
      <c r="M263" s="185" t="s">
        <v>271</v>
      </c>
      <c r="N263" s="185" t="s">
        <v>275</v>
      </c>
      <c r="O263" s="188" t="s">
        <v>733</v>
      </c>
      <c r="P263" s="189">
        <v>3498706.87</v>
      </c>
      <c r="Q263" s="189">
        <v>0</v>
      </c>
      <c r="R263" s="189">
        <v>0</v>
      </c>
      <c r="S263" s="189">
        <f t="shared" si="36"/>
        <v>3498706.87</v>
      </c>
      <c r="T263" s="189">
        <f t="shared" si="27"/>
        <v>548.48982096946133</v>
      </c>
      <c r="U263" s="189">
        <v>3255.8500000000004</v>
      </c>
      <c r="V263" s="170">
        <f t="shared" si="31"/>
        <v>2707.3601790305393</v>
      </c>
      <c r="W263" s="170"/>
      <c r="X263" s="170"/>
      <c r="Y263" s="173" t="e">
        <f t="shared" si="32"/>
        <v>#N/A</v>
      </c>
      <c r="AA263" s="173" t="e">
        <f t="shared" si="28"/>
        <v>#N/A</v>
      </c>
      <c r="AC263" s="173" t="s">
        <v>140</v>
      </c>
      <c r="AD263" s="173">
        <v>462.03</v>
      </c>
      <c r="AH263" s="173" t="e">
        <f t="shared" si="29"/>
        <v>#N/A</v>
      </c>
      <c r="AS263" s="173" t="e">
        <f t="shared" si="30"/>
        <v>#N/A</v>
      </c>
    </row>
    <row r="264" spans="1:45" s="173" customFormat="1" ht="36" customHeight="1" x14ac:dyDescent="0.9">
      <c r="A264" s="173">
        <v>1</v>
      </c>
      <c r="B264" s="91">
        <f>SUBTOTAL(103,$A$16:A264)</f>
        <v>243</v>
      </c>
      <c r="C264" s="90" t="s">
        <v>1223</v>
      </c>
      <c r="D264" s="185">
        <v>1979</v>
      </c>
      <c r="E264" s="185"/>
      <c r="F264" s="191" t="s">
        <v>319</v>
      </c>
      <c r="G264" s="185">
        <v>5</v>
      </c>
      <c r="H264" s="185">
        <v>2</v>
      </c>
      <c r="I264" s="189">
        <v>2660.8</v>
      </c>
      <c r="J264" s="189">
        <v>1869.9</v>
      </c>
      <c r="K264" s="189">
        <v>1766.1</v>
      </c>
      <c r="L264" s="187">
        <v>85</v>
      </c>
      <c r="M264" s="185" t="s">
        <v>271</v>
      </c>
      <c r="N264" s="185" t="s">
        <v>275</v>
      </c>
      <c r="O264" s="188" t="s">
        <v>733</v>
      </c>
      <c r="P264" s="189">
        <v>1670690</v>
      </c>
      <c r="Q264" s="189">
        <v>0</v>
      </c>
      <c r="R264" s="189">
        <v>0</v>
      </c>
      <c r="S264" s="189">
        <f t="shared" si="36"/>
        <v>1670690</v>
      </c>
      <c r="T264" s="189">
        <f t="shared" si="27"/>
        <v>627.89010823812384</v>
      </c>
      <c r="U264" s="189">
        <f>Y264</f>
        <v>887.24285177390266</v>
      </c>
      <c r="V264" s="170">
        <f t="shared" si="31"/>
        <v>259.35274353577881</v>
      </c>
      <c r="W264" s="170"/>
      <c r="X264" s="170"/>
      <c r="Y264" s="173">
        <f t="shared" si="32"/>
        <v>887.24285177390266</v>
      </c>
      <c r="AA264" s="173">
        <f t="shared" si="28"/>
        <v>452.1</v>
      </c>
      <c r="AC264" s="173" t="s">
        <v>149</v>
      </c>
      <c r="AD264" s="173">
        <v>1664.04</v>
      </c>
      <c r="AH264" s="173" t="e">
        <f t="shared" si="29"/>
        <v>#N/A</v>
      </c>
      <c r="AS264" s="173" t="e">
        <f t="shared" si="30"/>
        <v>#N/A</v>
      </c>
    </row>
    <row r="265" spans="1:45" s="173" customFormat="1" ht="36" customHeight="1" x14ac:dyDescent="0.9">
      <c r="A265" s="173">
        <v>1</v>
      </c>
      <c r="B265" s="91">
        <f>SUBTOTAL(103,$A$16:A265)</f>
        <v>244</v>
      </c>
      <c r="C265" s="90" t="s">
        <v>1224</v>
      </c>
      <c r="D265" s="185">
        <v>1986</v>
      </c>
      <c r="E265" s="185"/>
      <c r="F265" s="191" t="s">
        <v>319</v>
      </c>
      <c r="G265" s="185">
        <v>5</v>
      </c>
      <c r="H265" s="185">
        <v>5</v>
      </c>
      <c r="I265" s="189">
        <v>5770.1</v>
      </c>
      <c r="J265" s="189">
        <v>3935.4</v>
      </c>
      <c r="K265" s="189">
        <v>3781</v>
      </c>
      <c r="L265" s="187">
        <v>174</v>
      </c>
      <c r="M265" s="185" t="s">
        <v>271</v>
      </c>
      <c r="N265" s="185" t="s">
        <v>275</v>
      </c>
      <c r="O265" s="188" t="s">
        <v>733</v>
      </c>
      <c r="P265" s="189">
        <v>4024342.92</v>
      </c>
      <c r="Q265" s="189">
        <v>0</v>
      </c>
      <c r="R265" s="189">
        <v>0</v>
      </c>
      <c r="S265" s="189">
        <f t="shared" si="36"/>
        <v>4024342.92</v>
      </c>
      <c r="T265" s="189">
        <f t="shared" si="27"/>
        <v>697.44769068127061</v>
      </c>
      <c r="U265" s="189">
        <f>Y265</f>
        <v>897.73584513266667</v>
      </c>
      <c r="V265" s="170">
        <f t="shared" si="31"/>
        <v>200.28815445139605</v>
      </c>
      <c r="W265" s="170"/>
      <c r="X265" s="170"/>
      <c r="Y265" s="173">
        <f t="shared" si="32"/>
        <v>897.73584513266667</v>
      </c>
      <c r="AA265" s="173">
        <f t="shared" si="28"/>
        <v>992</v>
      </c>
      <c r="AC265" s="173" t="s">
        <v>1286</v>
      </c>
      <c r="AD265" s="173">
        <v>1105</v>
      </c>
      <c r="AH265" s="173" t="e">
        <f t="shared" si="29"/>
        <v>#N/A</v>
      </c>
      <c r="AS265" s="173" t="e">
        <f t="shared" si="30"/>
        <v>#N/A</v>
      </c>
    </row>
    <row r="266" spans="1:45" s="173" customFormat="1" ht="36" customHeight="1" x14ac:dyDescent="0.9">
      <c r="A266" s="173">
        <v>1</v>
      </c>
      <c r="B266" s="91">
        <f>SUBTOTAL(103,$A$16:A266)</f>
        <v>245</v>
      </c>
      <c r="C266" s="90" t="s">
        <v>661</v>
      </c>
      <c r="D266" s="185">
        <v>1991</v>
      </c>
      <c r="E266" s="185"/>
      <c r="F266" s="191" t="s">
        <v>319</v>
      </c>
      <c r="G266" s="185">
        <v>5</v>
      </c>
      <c r="H266" s="185">
        <v>4</v>
      </c>
      <c r="I266" s="189">
        <v>5019</v>
      </c>
      <c r="J266" s="189">
        <v>4678</v>
      </c>
      <c r="K266" s="189">
        <v>4497.6000000000004</v>
      </c>
      <c r="L266" s="187">
        <v>145</v>
      </c>
      <c r="M266" s="185" t="s">
        <v>271</v>
      </c>
      <c r="N266" s="185" t="s">
        <v>275</v>
      </c>
      <c r="O266" s="188" t="s">
        <v>733</v>
      </c>
      <c r="P266" s="189">
        <v>3266633.7</v>
      </c>
      <c r="Q266" s="189">
        <v>0</v>
      </c>
      <c r="R266" s="189">
        <v>0</v>
      </c>
      <c r="S266" s="189">
        <f t="shared" si="36"/>
        <v>3266633.7</v>
      </c>
      <c r="T266" s="189">
        <f t="shared" si="27"/>
        <v>650.85349671249253</v>
      </c>
      <c r="U266" s="189">
        <f>Y266</f>
        <v>828.26757919904367</v>
      </c>
      <c r="V266" s="170">
        <f t="shared" si="31"/>
        <v>177.41408248655114</v>
      </c>
      <c r="W266" s="170"/>
      <c r="X266" s="170"/>
      <c r="Y266" s="173">
        <f t="shared" si="32"/>
        <v>828.26757919904367</v>
      </c>
      <c r="AA266" s="173">
        <f t="shared" si="28"/>
        <v>796.1</v>
      </c>
      <c r="AC266" s="173" t="s">
        <v>1287</v>
      </c>
      <c r="AD266" s="173">
        <v>835.43</v>
      </c>
      <c r="AH266" s="173" t="e">
        <f t="shared" si="29"/>
        <v>#N/A</v>
      </c>
      <c r="AS266" s="173" t="e">
        <f t="shared" si="30"/>
        <v>#N/A</v>
      </c>
    </row>
    <row r="267" spans="1:45" s="173" customFormat="1" ht="36" customHeight="1" x14ac:dyDescent="0.9">
      <c r="B267" s="90" t="s">
        <v>842</v>
      </c>
      <c r="C267" s="90"/>
      <c r="D267" s="185" t="s">
        <v>915</v>
      </c>
      <c r="E267" s="185" t="s">
        <v>915</v>
      </c>
      <c r="F267" s="185" t="s">
        <v>915</v>
      </c>
      <c r="G267" s="185" t="s">
        <v>915</v>
      </c>
      <c r="H267" s="185" t="s">
        <v>915</v>
      </c>
      <c r="I267" s="186">
        <f>SUM(I268:I273)</f>
        <v>10556.800000000001</v>
      </c>
      <c r="J267" s="186">
        <f>SUM(J268:J273)</f>
        <v>8511.2999999999993</v>
      </c>
      <c r="K267" s="186">
        <f>SUM(K268:K273)</f>
        <v>7690.2999999999993</v>
      </c>
      <c r="L267" s="187">
        <f>SUM(L268:L273)</f>
        <v>411</v>
      </c>
      <c r="M267" s="185" t="s">
        <v>915</v>
      </c>
      <c r="N267" s="185" t="s">
        <v>915</v>
      </c>
      <c r="O267" s="188" t="s">
        <v>915</v>
      </c>
      <c r="P267" s="186">
        <v>35599350.520000003</v>
      </c>
      <c r="Q267" s="186">
        <f>SUM(Q268:Q273)</f>
        <v>0</v>
      </c>
      <c r="R267" s="186">
        <f>SUM(R268:R273)</f>
        <v>0</v>
      </c>
      <c r="S267" s="186">
        <f>SUM(S268:S273)</f>
        <v>35599350.520000003</v>
      </c>
      <c r="T267" s="189">
        <f t="shared" si="27"/>
        <v>3372.1724878751138</v>
      </c>
      <c r="U267" s="189">
        <f>MAX(U268:U273)</f>
        <v>16244.261256822316</v>
      </c>
      <c r="V267" s="170">
        <f t="shared" si="31"/>
        <v>12872.088768947202</v>
      </c>
      <c r="W267" s="170"/>
      <c r="X267" s="170"/>
      <c r="Y267" s="173" t="e">
        <f t="shared" si="32"/>
        <v>#N/A</v>
      </c>
      <c r="AA267" s="173" t="e">
        <f t="shared" si="28"/>
        <v>#N/A</v>
      </c>
      <c r="AC267" s="173" t="s">
        <v>1288</v>
      </c>
      <c r="AD267" s="173">
        <v>1401.4</v>
      </c>
      <c r="AH267" s="173" t="e">
        <f t="shared" si="29"/>
        <v>#N/A</v>
      </c>
      <c r="AS267" s="173" t="e">
        <f t="shared" si="30"/>
        <v>#N/A</v>
      </c>
    </row>
    <row r="268" spans="1:45" s="173" customFormat="1" ht="36" customHeight="1" x14ac:dyDescent="0.9">
      <c r="A268" s="173">
        <v>1</v>
      </c>
      <c r="B268" s="91">
        <f>SUBTOTAL(103,$A$16:A268)</f>
        <v>246</v>
      </c>
      <c r="C268" s="90" t="s">
        <v>671</v>
      </c>
      <c r="D268" s="185">
        <v>1896</v>
      </c>
      <c r="E268" s="185"/>
      <c r="F268" s="191" t="s">
        <v>273</v>
      </c>
      <c r="G268" s="185">
        <v>2</v>
      </c>
      <c r="H268" s="185">
        <v>1</v>
      </c>
      <c r="I268" s="189">
        <v>415.7</v>
      </c>
      <c r="J268" s="189">
        <v>392.3</v>
      </c>
      <c r="K268" s="189">
        <v>282.7</v>
      </c>
      <c r="L268" s="187">
        <v>23</v>
      </c>
      <c r="M268" s="185" t="s">
        <v>271</v>
      </c>
      <c r="N268" s="185" t="s">
        <v>275</v>
      </c>
      <c r="O268" s="188" t="s">
        <v>734</v>
      </c>
      <c r="P268" s="189">
        <v>3536098</v>
      </c>
      <c r="Q268" s="189">
        <v>0</v>
      </c>
      <c r="R268" s="189">
        <v>0</v>
      </c>
      <c r="S268" s="189">
        <f>P268-Q268-R268</f>
        <v>3536098</v>
      </c>
      <c r="T268" s="189">
        <f t="shared" si="27"/>
        <v>8506.3699783497723</v>
      </c>
      <c r="U268" s="189">
        <f>Y268+AG268</f>
        <v>12126.212457734408</v>
      </c>
      <c r="V268" s="170">
        <f t="shared" si="31"/>
        <v>3619.8424793846352</v>
      </c>
      <c r="W268" s="170"/>
      <c r="X268" s="170"/>
      <c r="Y268" s="173">
        <f t="shared" si="32"/>
        <v>4697.9870098628817</v>
      </c>
      <c r="AA268" s="173">
        <f t="shared" si="28"/>
        <v>374</v>
      </c>
      <c r="AC268" s="173" t="s">
        <v>1285</v>
      </c>
      <c r="AD268" s="173">
        <v>467.74</v>
      </c>
      <c r="AG268" s="173">
        <f>AH268*6191.24/J268</f>
        <v>7428.2254478715267</v>
      </c>
      <c r="AH268" s="173">
        <f t="shared" si="29"/>
        <v>470.68</v>
      </c>
      <c r="AS268" s="173" t="e">
        <f t="shared" si="30"/>
        <v>#N/A</v>
      </c>
    </row>
    <row r="269" spans="1:45" s="173" customFormat="1" ht="36" customHeight="1" x14ac:dyDescent="0.9">
      <c r="A269" s="173">
        <v>1</v>
      </c>
      <c r="B269" s="91">
        <f>SUBTOTAL(103,$A$16:A269)</f>
        <v>247</v>
      </c>
      <c r="C269" s="90" t="s">
        <v>665</v>
      </c>
      <c r="D269" s="185">
        <v>1958</v>
      </c>
      <c r="E269" s="185"/>
      <c r="F269" s="191" t="s">
        <v>273</v>
      </c>
      <c r="G269" s="185">
        <v>3</v>
      </c>
      <c r="H269" s="185">
        <v>3</v>
      </c>
      <c r="I269" s="189">
        <v>1224.0999999999999</v>
      </c>
      <c r="J269" s="189">
        <v>1113.4000000000001</v>
      </c>
      <c r="K269" s="189">
        <v>755.9</v>
      </c>
      <c r="L269" s="187">
        <v>53</v>
      </c>
      <c r="M269" s="185" t="s">
        <v>271</v>
      </c>
      <c r="N269" s="185" t="s">
        <v>275</v>
      </c>
      <c r="O269" s="188" t="s">
        <v>734</v>
      </c>
      <c r="P269" s="189">
        <v>3748245.9899999998</v>
      </c>
      <c r="Q269" s="189">
        <v>0</v>
      </c>
      <c r="R269" s="189">
        <v>0</v>
      </c>
      <c r="S269" s="189">
        <f>P269-Q269-R269</f>
        <v>3748245.9899999998</v>
      </c>
      <c r="T269" s="189">
        <f t="shared" si="27"/>
        <v>3062.0423086349156</v>
      </c>
      <c r="U269" s="189">
        <f>Y269</f>
        <v>3086.9663998039377</v>
      </c>
      <c r="V269" s="170">
        <f t="shared" si="31"/>
        <v>24.924091169022176</v>
      </c>
      <c r="W269" s="170"/>
      <c r="X269" s="170"/>
      <c r="Y269" s="173">
        <f t="shared" si="32"/>
        <v>3086.9663998039377</v>
      </c>
      <c r="AA269" s="173">
        <f t="shared" si="28"/>
        <v>723.65</v>
      </c>
      <c r="AC269" s="173" t="s">
        <v>90</v>
      </c>
      <c r="AD269" s="173">
        <v>426</v>
      </c>
      <c r="AH269" s="173" t="e">
        <f t="shared" si="29"/>
        <v>#N/A</v>
      </c>
      <c r="AS269" s="173" t="e">
        <f t="shared" si="30"/>
        <v>#N/A</v>
      </c>
    </row>
    <row r="270" spans="1:45" s="173" customFormat="1" ht="36" customHeight="1" x14ac:dyDescent="0.9">
      <c r="A270" s="173">
        <v>1</v>
      </c>
      <c r="B270" s="91">
        <f>SUBTOTAL(103,$A$16:A270)</f>
        <v>248</v>
      </c>
      <c r="C270" s="90" t="s">
        <v>670</v>
      </c>
      <c r="D270" s="185">
        <v>1984</v>
      </c>
      <c r="E270" s="185"/>
      <c r="F270" s="191" t="s">
        <v>273</v>
      </c>
      <c r="G270" s="185">
        <v>3</v>
      </c>
      <c r="H270" s="185">
        <v>3</v>
      </c>
      <c r="I270" s="189">
        <v>2162.5</v>
      </c>
      <c r="J270" s="189">
        <v>2162.5</v>
      </c>
      <c r="K270" s="189">
        <v>2047.6</v>
      </c>
      <c r="L270" s="187">
        <v>79</v>
      </c>
      <c r="M270" s="185" t="s">
        <v>271</v>
      </c>
      <c r="N270" s="185" t="s">
        <v>275</v>
      </c>
      <c r="O270" s="188" t="s">
        <v>728</v>
      </c>
      <c r="P270" s="189">
        <v>5958565.79</v>
      </c>
      <c r="Q270" s="189">
        <v>0</v>
      </c>
      <c r="R270" s="189">
        <v>0</v>
      </c>
      <c r="S270" s="189">
        <f>P270-Q270-R270</f>
        <v>5958565.79</v>
      </c>
      <c r="T270" s="189">
        <f t="shared" ref="T270:T333" si="37">P270/I270</f>
        <v>2755.4061456647401</v>
      </c>
      <c r="U270" s="189">
        <f>Y270</f>
        <v>2780.2915699421969</v>
      </c>
      <c r="V270" s="170">
        <f t="shared" si="31"/>
        <v>24.885424277456877</v>
      </c>
      <c r="W270" s="170"/>
      <c r="X270" s="170"/>
      <c r="Y270" s="173">
        <f t="shared" si="32"/>
        <v>2780.2915699421969</v>
      </c>
      <c r="AA270" s="173">
        <f t="shared" si="28"/>
        <v>1151.4000000000001</v>
      </c>
      <c r="AC270" s="173" t="s">
        <v>1293</v>
      </c>
      <c r="AD270" s="173">
        <v>949</v>
      </c>
      <c r="AH270" s="173" t="e">
        <f t="shared" si="29"/>
        <v>#N/A</v>
      </c>
      <c r="AS270" s="173" t="e">
        <f t="shared" si="30"/>
        <v>#N/A</v>
      </c>
    </row>
    <row r="271" spans="1:45" s="173" customFormat="1" ht="36" customHeight="1" x14ac:dyDescent="0.9">
      <c r="A271" s="173">
        <v>1</v>
      </c>
      <c r="B271" s="91">
        <f>SUBTOTAL(103,$A$16:A271)</f>
        <v>249</v>
      </c>
      <c r="C271" s="90" t="s">
        <v>1225</v>
      </c>
      <c r="D271" s="185">
        <v>1932</v>
      </c>
      <c r="E271" s="185"/>
      <c r="F271" s="191" t="s">
        <v>1352</v>
      </c>
      <c r="G271" s="185">
        <v>3</v>
      </c>
      <c r="H271" s="185">
        <v>5</v>
      </c>
      <c r="I271" s="189">
        <v>1954.2</v>
      </c>
      <c r="J271" s="189">
        <v>1319.2</v>
      </c>
      <c r="K271" s="189">
        <v>1319.2</v>
      </c>
      <c r="L271" s="187">
        <v>78</v>
      </c>
      <c r="M271" s="185" t="s">
        <v>271</v>
      </c>
      <c r="N271" s="185" t="s">
        <v>275</v>
      </c>
      <c r="O271" s="188" t="s">
        <v>1353</v>
      </c>
      <c r="P271" s="189">
        <v>8037304.830000001</v>
      </c>
      <c r="Q271" s="189">
        <v>0</v>
      </c>
      <c r="R271" s="189">
        <v>0</v>
      </c>
      <c r="S271" s="189">
        <f>P271-Q271-R271</f>
        <v>8037304.830000001</v>
      </c>
      <c r="T271" s="189">
        <f t="shared" si="37"/>
        <v>4112.8363678231508</v>
      </c>
      <c r="U271" s="189">
        <f>AG271</f>
        <v>16244.261256822316</v>
      </c>
      <c r="V271" s="170">
        <f t="shared" si="31"/>
        <v>12131.424888999165</v>
      </c>
      <c r="W271" s="170"/>
      <c r="X271" s="170"/>
      <c r="Y271" s="173" t="e">
        <f t="shared" si="32"/>
        <v>#N/A</v>
      </c>
      <c r="AA271" s="173" t="e">
        <f t="shared" si="28"/>
        <v>#N/A</v>
      </c>
      <c r="AC271" s="173" t="s">
        <v>92</v>
      </c>
      <c r="AD271" s="173">
        <v>613.20000000000005</v>
      </c>
      <c r="AG271" s="173">
        <f>AH271*6191.24/J271</f>
        <v>16244.261256822316</v>
      </c>
      <c r="AH271" s="173">
        <f t="shared" si="29"/>
        <v>3461.25</v>
      </c>
      <c r="AS271" s="173" t="e">
        <f t="shared" si="30"/>
        <v>#N/A</v>
      </c>
    </row>
    <row r="272" spans="1:45" s="173" customFormat="1" ht="36" customHeight="1" x14ac:dyDescent="0.9">
      <c r="A272" s="173">
        <v>1</v>
      </c>
      <c r="B272" s="91">
        <f>SUBTOTAL(103,$A$16:A272)</f>
        <v>250</v>
      </c>
      <c r="C272" s="90" t="s">
        <v>1210</v>
      </c>
      <c r="D272" s="185">
        <v>1882</v>
      </c>
      <c r="E272" s="185"/>
      <c r="F272" s="191" t="s">
        <v>273</v>
      </c>
      <c r="G272" s="185">
        <v>4</v>
      </c>
      <c r="H272" s="185">
        <v>2</v>
      </c>
      <c r="I272" s="189">
        <v>3453.2</v>
      </c>
      <c r="J272" s="189">
        <v>2382.5</v>
      </c>
      <c r="K272" s="189">
        <v>2143.5</v>
      </c>
      <c r="L272" s="187">
        <v>129</v>
      </c>
      <c r="M272" s="185" t="s">
        <v>271</v>
      </c>
      <c r="N272" s="185" t="s">
        <v>275</v>
      </c>
      <c r="O272" s="188" t="s">
        <v>734</v>
      </c>
      <c r="P272" s="189">
        <v>10475523.609999999</v>
      </c>
      <c r="Q272" s="189">
        <v>0</v>
      </c>
      <c r="R272" s="189">
        <v>0</v>
      </c>
      <c r="S272" s="189">
        <f>P272-Q272-R272</f>
        <v>10475523.609999999</v>
      </c>
      <c r="T272" s="189">
        <f t="shared" si="37"/>
        <v>3033.5699090698481</v>
      </c>
      <c r="U272" s="189">
        <f>T272</f>
        <v>3033.5699090698481</v>
      </c>
      <c r="V272" s="170">
        <f t="shared" si="31"/>
        <v>0</v>
      </c>
      <c r="W272" s="170"/>
      <c r="X272" s="170"/>
      <c r="Y272" s="173">
        <f t="shared" si="32"/>
        <v>3017.0668828912317</v>
      </c>
      <c r="AA272" s="173">
        <f t="shared" ref="AA272:AA335" si="38">VLOOKUP(C272,AC:AE,2,FALSE)</f>
        <v>1995.2</v>
      </c>
      <c r="AC272" s="173" t="s">
        <v>93</v>
      </c>
      <c r="AD272" s="173">
        <v>600</v>
      </c>
      <c r="AH272" s="173" t="e">
        <f t="shared" ref="AH272:AH335" si="39">VLOOKUP(C272,AJ:AK,2,FALSE)</f>
        <v>#N/A</v>
      </c>
      <c r="AS272" s="173" t="e">
        <f t="shared" ref="AS272:AS335" si="40">VLOOKUP(C272,AU:AV,2,FALSE)</f>
        <v>#N/A</v>
      </c>
    </row>
    <row r="273" spans="1:45" s="173" customFormat="1" ht="36" customHeight="1" x14ac:dyDescent="0.9">
      <c r="A273" s="173">
        <v>1</v>
      </c>
      <c r="B273" s="91">
        <f>SUBTOTAL(103,$A$16:A273)</f>
        <v>251</v>
      </c>
      <c r="C273" s="90" t="s">
        <v>1609</v>
      </c>
      <c r="D273" s="185">
        <v>1939</v>
      </c>
      <c r="E273" s="185"/>
      <c r="F273" s="191" t="s">
        <v>1620</v>
      </c>
      <c r="G273" s="185">
        <v>3</v>
      </c>
      <c r="H273" s="185">
        <v>4</v>
      </c>
      <c r="I273" s="189">
        <v>1347.1</v>
      </c>
      <c r="J273" s="189">
        <v>1141.4000000000001</v>
      </c>
      <c r="K273" s="189">
        <f>J273</f>
        <v>1141.4000000000001</v>
      </c>
      <c r="L273" s="187">
        <v>49</v>
      </c>
      <c r="M273" s="185" t="s">
        <v>271</v>
      </c>
      <c r="N273" s="185" t="s">
        <v>275</v>
      </c>
      <c r="O273" s="188" t="s">
        <v>734</v>
      </c>
      <c r="P273" s="189">
        <v>3843612.3000000003</v>
      </c>
      <c r="Q273" s="189">
        <v>0</v>
      </c>
      <c r="R273" s="189">
        <v>0</v>
      </c>
      <c r="S273" s="189">
        <f>P273-R273-Q273</f>
        <v>3843612.3000000003</v>
      </c>
      <c r="T273" s="189">
        <f t="shared" si="37"/>
        <v>2853.2494246900756</v>
      </c>
      <c r="U273" s="189">
        <f>Y273</f>
        <v>3024.1939766906689</v>
      </c>
      <c r="V273" s="170">
        <f t="shared" si="31"/>
        <v>170.94455200059338</v>
      </c>
      <c r="W273" s="170"/>
      <c r="X273" s="170"/>
      <c r="Y273" s="173">
        <f t="shared" si="32"/>
        <v>3024.1939766906689</v>
      </c>
      <c r="AA273" s="173">
        <f t="shared" si="38"/>
        <v>780.17</v>
      </c>
      <c r="AC273" s="173" t="s">
        <v>94</v>
      </c>
      <c r="AD273" s="173">
        <v>1143</v>
      </c>
      <c r="AH273" s="173" t="e">
        <f t="shared" si="39"/>
        <v>#N/A</v>
      </c>
      <c r="AS273" s="173" t="e">
        <f t="shared" si="40"/>
        <v>#N/A</v>
      </c>
    </row>
    <row r="274" spans="1:45" s="173" customFormat="1" ht="36" customHeight="1" x14ac:dyDescent="0.9">
      <c r="B274" s="90" t="s">
        <v>843</v>
      </c>
      <c r="C274" s="90"/>
      <c r="D274" s="185" t="s">
        <v>915</v>
      </c>
      <c r="E274" s="185" t="s">
        <v>915</v>
      </c>
      <c r="F274" s="185" t="s">
        <v>915</v>
      </c>
      <c r="G274" s="185" t="s">
        <v>915</v>
      </c>
      <c r="H274" s="185" t="s">
        <v>915</v>
      </c>
      <c r="I274" s="186">
        <f>SUM(I275:I278)</f>
        <v>15661.67</v>
      </c>
      <c r="J274" s="186">
        <f>SUM(J275:J278)</f>
        <v>11320.82</v>
      </c>
      <c r="K274" s="186">
        <f>SUM(K275:K278)</f>
        <v>10924.42</v>
      </c>
      <c r="L274" s="187">
        <f>SUM(L275:L278)</f>
        <v>532</v>
      </c>
      <c r="M274" s="185" t="s">
        <v>915</v>
      </c>
      <c r="N274" s="185" t="s">
        <v>915</v>
      </c>
      <c r="O274" s="188" t="s">
        <v>915</v>
      </c>
      <c r="P274" s="189">
        <v>17002898.350000001</v>
      </c>
      <c r="Q274" s="189">
        <f>SUM(Q275:Q278)</f>
        <v>0</v>
      </c>
      <c r="R274" s="189">
        <f>SUM(R275:R278)</f>
        <v>0</v>
      </c>
      <c r="S274" s="189">
        <f>SUM(S275:S278)</f>
        <v>17002898.350000001</v>
      </c>
      <c r="T274" s="189">
        <f t="shared" si="37"/>
        <v>1085.6376331515094</v>
      </c>
      <c r="U274" s="189">
        <f>MAX(U275:U278)</f>
        <v>3160.94</v>
      </c>
      <c r="V274" s="170">
        <f t="shared" si="31"/>
        <v>2075.3023668484907</v>
      </c>
      <c r="W274" s="170"/>
      <c r="X274" s="170"/>
      <c r="Y274" s="173" t="e">
        <f t="shared" si="32"/>
        <v>#N/A</v>
      </c>
      <c r="AA274" s="173" t="e">
        <f t="shared" si="38"/>
        <v>#N/A</v>
      </c>
      <c r="AC274" s="173" t="s">
        <v>95</v>
      </c>
      <c r="AD274" s="173">
        <v>600</v>
      </c>
      <c r="AH274" s="173" t="e">
        <f t="shared" si="39"/>
        <v>#N/A</v>
      </c>
      <c r="AS274" s="173" t="e">
        <f t="shared" si="40"/>
        <v>#N/A</v>
      </c>
    </row>
    <row r="275" spans="1:45" s="173" customFormat="1" ht="36" customHeight="1" x14ac:dyDescent="0.9">
      <c r="A275" s="173">
        <v>1</v>
      </c>
      <c r="B275" s="91">
        <f>SUBTOTAL(103,$A$16:A275)</f>
        <v>252</v>
      </c>
      <c r="C275" s="90" t="s">
        <v>675</v>
      </c>
      <c r="D275" s="185">
        <v>1972</v>
      </c>
      <c r="E275" s="185"/>
      <c r="F275" s="191" t="s">
        <v>273</v>
      </c>
      <c r="G275" s="185">
        <v>5</v>
      </c>
      <c r="H275" s="185">
        <v>4</v>
      </c>
      <c r="I275" s="189">
        <v>4295.76</v>
      </c>
      <c r="J275" s="189">
        <v>3325.76</v>
      </c>
      <c r="K275" s="189">
        <v>3325.76</v>
      </c>
      <c r="L275" s="187">
        <v>137</v>
      </c>
      <c r="M275" s="185" t="s">
        <v>271</v>
      </c>
      <c r="N275" s="185" t="s">
        <v>275</v>
      </c>
      <c r="O275" s="188" t="s">
        <v>1017</v>
      </c>
      <c r="P275" s="189">
        <v>6202548</v>
      </c>
      <c r="Q275" s="189">
        <v>0</v>
      </c>
      <c r="R275" s="189">
        <v>0</v>
      </c>
      <c r="S275" s="189">
        <f>P275-Q275-R275</f>
        <v>6202548</v>
      </c>
      <c r="T275" s="189">
        <f t="shared" si="37"/>
        <v>1443.8767528912228</v>
      </c>
      <c r="U275" s="189">
        <f>Y275</f>
        <v>1444.0979943013576</v>
      </c>
      <c r="V275" s="170">
        <f t="shared" ref="V275:V338" si="41">U275-T275</f>
        <v>0.22124141013478038</v>
      </c>
      <c r="W275" s="170"/>
      <c r="X275" s="170"/>
      <c r="Y275" s="173">
        <f t="shared" ref="Y275:Y338" si="42">AA275*5221.8/I275</f>
        <v>1444.0979943013576</v>
      </c>
      <c r="AA275" s="173">
        <f t="shared" si="38"/>
        <v>1188</v>
      </c>
      <c r="AC275" s="173" t="s">
        <v>189</v>
      </c>
      <c r="AD275" s="173">
        <v>255.2</v>
      </c>
      <c r="AH275" s="173" t="e">
        <f t="shared" si="39"/>
        <v>#N/A</v>
      </c>
      <c r="AS275" s="173" t="e">
        <f t="shared" si="40"/>
        <v>#N/A</v>
      </c>
    </row>
    <row r="276" spans="1:45" s="173" customFormat="1" ht="36" customHeight="1" x14ac:dyDescent="0.9">
      <c r="A276" s="173">
        <v>1</v>
      </c>
      <c r="B276" s="91">
        <f>SUBTOTAL(103,$A$16:A276)</f>
        <v>253</v>
      </c>
      <c r="C276" s="90" t="s">
        <v>672</v>
      </c>
      <c r="D276" s="185">
        <v>1978</v>
      </c>
      <c r="E276" s="185"/>
      <c r="F276" s="191" t="s">
        <v>273</v>
      </c>
      <c r="G276" s="185">
        <v>3</v>
      </c>
      <c r="H276" s="185">
        <v>2</v>
      </c>
      <c r="I276" s="189">
        <v>1569.6</v>
      </c>
      <c r="J276" s="189">
        <v>1094.4000000000001</v>
      </c>
      <c r="K276" s="189">
        <v>1094.4000000000001</v>
      </c>
      <c r="L276" s="187">
        <v>59</v>
      </c>
      <c r="M276" s="185" t="s">
        <v>271</v>
      </c>
      <c r="N276" s="185" t="s">
        <v>275</v>
      </c>
      <c r="O276" s="188" t="s">
        <v>1018</v>
      </c>
      <c r="P276" s="189">
        <v>3579794.97</v>
      </c>
      <c r="Q276" s="189">
        <v>0</v>
      </c>
      <c r="R276" s="189">
        <v>0</v>
      </c>
      <c r="S276" s="189">
        <f>P276-Q276-R276</f>
        <v>3579794.97</v>
      </c>
      <c r="T276" s="189">
        <f t="shared" si="37"/>
        <v>2280.7052561162081</v>
      </c>
      <c r="U276" s="189">
        <v>3160.94</v>
      </c>
      <c r="V276" s="170">
        <f t="shared" si="41"/>
        <v>880.23474388379191</v>
      </c>
      <c r="W276" s="170"/>
      <c r="X276" s="170"/>
      <c r="Y276" s="173" t="e">
        <f t="shared" si="42"/>
        <v>#N/A</v>
      </c>
      <c r="AA276" s="173" t="e">
        <f t="shared" si="38"/>
        <v>#N/A</v>
      </c>
      <c r="AC276" s="173" t="s">
        <v>188</v>
      </c>
      <c r="AD276" s="173">
        <v>297</v>
      </c>
      <c r="AH276" s="173" t="e">
        <f t="shared" si="39"/>
        <v>#N/A</v>
      </c>
      <c r="AS276" s="173" t="e">
        <f t="shared" si="40"/>
        <v>#N/A</v>
      </c>
    </row>
    <row r="277" spans="1:45" s="173" customFormat="1" ht="36" customHeight="1" x14ac:dyDescent="0.9">
      <c r="A277" s="173">
        <v>1</v>
      </c>
      <c r="B277" s="91">
        <f>SUBTOTAL(103,$A$16:A277)</f>
        <v>254</v>
      </c>
      <c r="C277" s="90" t="s">
        <v>1226</v>
      </c>
      <c r="D277" s="185">
        <v>1968</v>
      </c>
      <c r="E277" s="185"/>
      <c r="F277" s="191" t="s">
        <v>273</v>
      </c>
      <c r="G277" s="185">
        <v>5</v>
      </c>
      <c r="H277" s="185">
        <v>4</v>
      </c>
      <c r="I277" s="189">
        <v>4460.8999999999996</v>
      </c>
      <c r="J277" s="189">
        <v>2874.85</v>
      </c>
      <c r="K277" s="189">
        <v>2874.85</v>
      </c>
      <c r="L277" s="187">
        <v>114</v>
      </c>
      <c r="M277" s="185" t="s">
        <v>271</v>
      </c>
      <c r="N277" s="185" t="s">
        <v>275</v>
      </c>
      <c r="O277" s="188" t="s">
        <v>1354</v>
      </c>
      <c r="P277" s="189">
        <v>3650965.3</v>
      </c>
      <c r="Q277" s="189">
        <v>0</v>
      </c>
      <c r="R277" s="189">
        <v>0</v>
      </c>
      <c r="S277" s="189">
        <f>P277-Q277-R277</f>
        <v>3650965.3</v>
      </c>
      <c r="T277" s="189">
        <f t="shared" si="37"/>
        <v>818.43692976753573</v>
      </c>
      <c r="U277" s="189">
        <f>Y277</f>
        <v>1000.8381716693941</v>
      </c>
      <c r="V277" s="170">
        <f t="shared" si="41"/>
        <v>182.40124190185838</v>
      </c>
      <c r="W277" s="170"/>
      <c r="X277" s="170"/>
      <c r="Y277" s="173">
        <f t="shared" si="42"/>
        <v>1000.8381716693941</v>
      </c>
      <c r="AA277" s="173">
        <f t="shared" si="38"/>
        <v>855</v>
      </c>
      <c r="AC277" s="173" t="s">
        <v>1296</v>
      </c>
      <c r="AD277" s="173">
        <v>437.4</v>
      </c>
      <c r="AH277" s="173" t="e">
        <f t="shared" si="39"/>
        <v>#N/A</v>
      </c>
      <c r="AS277" s="173" t="e">
        <f t="shared" si="40"/>
        <v>#N/A</v>
      </c>
    </row>
    <row r="278" spans="1:45" s="173" customFormat="1" ht="36" customHeight="1" x14ac:dyDescent="0.9">
      <c r="A278" s="173">
        <v>1</v>
      </c>
      <c r="B278" s="91">
        <f>SUBTOTAL(103,$A$16:A278)</f>
        <v>255</v>
      </c>
      <c r="C278" s="90" t="s">
        <v>1212</v>
      </c>
      <c r="D278" s="185">
        <v>1990</v>
      </c>
      <c r="E278" s="185"/>
      <c r="F278" s="191" t="s">
        <v>273</v>
      </c>
      <c r="G278" s="185">
        <v>5</v>
      </c>
      <c r="H278" s="185">
        <v>6</v>
      </c>
      <c r="I278" s="189">
        <v>5335.41</v>
      </c>
      <c r="J278" s="189">
        <v>4025.81</v>
      </c>
      <c r="K278" s="189">
        <v>3629.41</v>
      </c>
      <c r="L278" s="187">
        <v>222</v>
      </c>
      <c r="M278" s="185" t="s">
        <v>271</v>
      </c>
      <c r="N278" s="185" t="s">
        <v>275</v>
      </c>
      <c r="O278" s="188" t="s">
        <v>1346</v>
      </c>
      <c r="P278" s="189">
        <v>3569590.08</v>
      </c>
      <c r="Q278" s="189">
        <v>0</v>
      </c>
      <c r="R278" s="189">
        <v>0</v>
      </c>
      <c r="S278" s="189">
        <f>P278-Q278-R278</f>
        <v>3569590.08</v>
      </c>
      <c r="T278" s="189">
        <f t="shared" si="37"/>
        <v>669.03763347146707</v>
      </c>
      <c r="U278" s="189">
        <f>Y278</f>
        <v>1131.2867464730923</v>
      </c>
      <c r="V278" s="170">
        <f t="shared" si="41"/>
        <v>462.24911300162523</v>
      </c>
      <c r="W278" s="170"/>
      <c r="X278" s="170"/>
      <c r="Y278" s="173">
        <f t="shared" si="42"/>
        <v>1131.2867464730923</v>
      </c>
      <c r="AA278" s="173">
        <f t="shared" si="38"/>
        <v>1155.9000000000001</v>
      </c>
      <c r="AC278" s="173" t="s">
        <v>1297</v>
      </c>
      <c r="AD278" s="173">
        <v>408</v>
      </c>
      <c r="AH278" s="173" t="e">
        <f t="shared" si="39"/>
        <v>#N/A</v>
      </c>
      <c r="AS278" s="173" t="e">
        <f t="shared" si="40"/>
        <v>#N/A</v>
      </c>
    </row>
    <row r="279" spans="1:45" s="173" customFormat="1" ht="36" customHeight="1" x14ac:dyDescent="0.9">
      <c r="B279" s="90" t="s">
        <v>1305</v>
      </c>
      <c r="C279" s="90"/>
      <c r="D279" s="185" t="s">
        <v>915</v>
      </c>
      <c r="E279" s="185" t="s">
        <v>915</v>
      </c>
      <c r="F279" s="185" t="s">
        <v>915</v>
      </c>
      <c r="G279" s="185" t="s">
        <v>915</v>
      </c>
      <c r="H279" s="185" t="s">
        <v>915</v>
      </c>
      <c r="I279" s="186">
        <f>I280</f>
        <v>762</v>
      </c>
      <c r="J279" s="186">
        <f>J280</f>
        <v>709</v>
      </c>
      <c r="K279" s="186">
        <f>K280</f>
        <v>709</v>
      </c>
      <c r="L279" s="187">
        <f>L280</f>
        <v>12</v>
      </c>
      <c r="M279" s="185" t="s">
        <v>915</v>
      </c>
      <c r="N279" s="185" t="s">
        <v>915</v>
      </c>
      <c r="O279" s="188" t="s">
        <v>915</v>
      </c>
      <c r="P279" s="189">
        <v>509455.14</v>
      </c>
      <c r="Q279" s="189">
        <f>Q280</f>
        <v>0</v>
      </c>
      <c r="R279" s="189">
        <f>R280</f>
        <v>0</v>
      </c>
      <c r="S279" s="189">
        <f>S280</f>
        <v>509455.14</v>
      </c>
      <c r="T279" s="189">
        <f t="shared" si="37"/>
        <v>668.57629921259843</v>
      </c>
      <c r="U279" s="189">
        <f>U280</f>
        <v>703.11</v>
      </c>
      <c r="V279" s="170">
        <f t="shared" si="41"/>
        <v>34.533700787401585</v>
      </c>
      <c r="W279" s="170"/>
      <c r="X279" s="170"/>
      <c r="Y279" s="173" t="e">
        <f t="shared" si="42"/>
        <v>#N/A</v>
      </c>
      <c r="AA279" s="173" t="e">
        <f t="shared" si="38"/>
        <v>#N/A</v>
      </c>
      <c r="AC279" s="173" t="s">
        <v>192</v>
      </c>
      <c r="AD279" s="173">
        <v>1028.5999999999999</v>
      </c>
      <c r="AH279" s="173" t="e">
        <f t="shared" si="39"/>
        <v>#N/A</v>
      </c>
      <c r="AS279" s="173" t="e">
        <f t="shared" si="40"/>
        <v>#N/A</v>
      </c>
    </row>
    <row r="280" spans="1:45" s="173" customFormat="1" ht="36" customHeight="1" x14ac:dyDescent="0.9">
      <c r="A280" s="173">
        <v>1</v>
      </c>
      <c r="B280" s="91">
        <f>SUBTOTAL(103,$A$16:A280)</f>
        <v>256</v>
      </c>
      <c r="C280" s="90" t="s">
        <v>1211</v>
      </c>
      <c r="D280" s="185">
        <v>1967</v>
      </c>
      <c r="E280" s="185"/>
      <c r="F280" s="191" t="s">
        <v>273</v>
      </c>
      <c r="G280" s="185">
        <v>2</v>
      </c>
      <c r="H280" s="185">
        <v>2</v>
      </c>
      <c r="I280" s="189">
        <v>762</v>
      </c>
      <c r="J280" s="189">
        <v>709</v>
      </c>
      <c r="K280" s="189">
        <v>709</v>
      </c>
      <c r="L280" s="187">
        <v>12</v>
      </c>
      <c r="M280" s="185" t="s">
        <v>271</v>
      </c>
      <c r="N280" s="185" t="s">
        <v>289</v>
      </c>
      <c r="O280" s="188" t="s">
        <v>274</v>
      </c>
      <c r="P280" s="189">
        <v>509455.14</v>
      </c>
      <c r="Q280" s="189">
        <v>0</v>
      </c>
      <c r="R280" s="189">
        <v>0</v>
      </c>
      <c r="S280" s="189">
        <f>P280-Q280-R280</f>
        <v>509455.14</v>
      </c>
      <c r="T280" s="189">
        <f t="shared" si="37"/>
        <v>668.57629921259843</v>
      </c>
      <c r="U280" s="189">
        <v>703.11</v>
      </c>
      <c r="V280" s="170">
        <f t="shared" si="41"/>
        <v>34.533700787401585</v>
      </c>
      <c r="W280" s="170"/>
      <c r="X280" s="170"/>
      <c r="Y280" s="173" t="e">
        <f t="shared" si="42"/>
        <v>#N/A</v>
      </c>
      <c r="AA280" s="173" t="e">
        <f t="shared" si="38"/>
        <v>#N/A</v>
      </c>
      <c r="AC280" s="173" t="s">
        <v>191</v>
      </c>
      <c r="AD280" s="173">
        <v>578.4</v>
      </c>
      <c r="AH280" s="173" t="e">
        <f t="shared" si="39"/>
        <v>#N/A</v>
      </c>
      <c r="AS280" s="173" t="e">
        <f t="shared" si="40"/>
        <v>#N/A</v>
      </c>
    </row>
    <row r="281" spans="1:45" s="173" customFormat="1" ht="36" customHeight="1" x14ac:dyDescent="0.9">
      <c r="B281" s="90" t="s">
        <v>844</v>
      </c>
      <c r="C281" s="192"/>
      <c r="D281" s="185" t="s">
        <v>915</v>
      </c>
      <c r="E281" s="185" t="s">
        <v>915</v>
      </c>
      <c r="F281" s="185" t="s">
        <v>915</v>
      </c>
      <c r="G281" s="185" t="s">
        <v>915</v>
      </c>
      <c r="H281" s="185" t="s">
        <v>915</v>
      </c>
      <c r="I281" s="186">
        <f>SUM(I282:I283)</f>
        <v>2259.1</v>
      </c>
      <c r="J281" s="186">
        <f>SUM(J282:J283)</f>
        <v>2114.1</v>
      </c>
      <c r="K281" s="186">
        <f>SUM(K282:K283)</f>
        <v>2070.3000000000002</v>
      </c>
      <c r="L281" s="187">
        <f>SUM(L282:L283)</f>
        <v>104</v>
      </c>
      <c r="M281" s="185" t="s">
        <v>915</v>
      </c>
      <c r="N281" s="185" t="s">
        <v>915</v>
      </c>
      <c r="O281" s="188" t="s">
        <v>915</v>
      </c>
      <c r="P281" s="189">
        <v>6197385.3000000007</v>
      </c>
      <c r="Q281" s="189">
        <f>SUM(Q282:Q283)</f>
        <v>0</v>
      </c>
      <c r="R281" s="189">
        <f>SUM(R282:R283)</f>
        <v>0</v>
      </c>
      <c r="S281" s="189">
        <f>SUM(S282:S283)</f>
        <v>6197385.3000000007</v>
      </c>
      <c r="T281" s="189">
        <f t="shared" si="37"/>
        <v>2743.2983489000048</v>
      </c>
      <c r="U281" s="189">
        <f>MAX(U282:U283)</f>
        <v>4877.1452067381315</v>
      </c>
      <c r="V281" s="170">
        <f t="shared" si="41"/>
        <v>2133.8468578381267</v>
      </c>
      <c r="W281" s="170"/>
      <c r="X281" s="170"/>
      <c r="Y281" s="173" t="e">
        <f t="shared" si="42"/>
        <v>#N/A</v>
      </c>
      <c r="AA281" s="173" t="e">
        <f t="shared" si="38"/>
        <v>#N/A</v>
      </c>
      <c r="AC281" s="173" t="s">
        <v>190</v>
      </c>
      <c r="AD281" s="173">
        <v>378</v>
      </c>
      <c r="AH281" s="173" t="e">
        <f t="shared" si="39"/>
        <v>#N/A</v>
      </c>
      <c r="AS281" s="173" t="e">
        <f t="shared" si="40"/>
        <v>#N/A</v>
      </c>
    </row>
    <row r="282" spans="1:45" s="173" customFormat="1" ht="36" customHeight="1" x14ac:dyDescent="0.9">
      <c r="A282" s="173">
        <v>1</v>
      </c>
      <c r="B282" s="91">
        <f>SUBTOTAL(103,$A$16:A282)</f>
        <v>257</v>
      </c>
      <c r="C282" s="90" t="s">
        <v>700</v>
      </c>
      <c r="D282" s="185">
        <v>1982</v>
      </c>
      <c r="E282" s="185"/>
      <c r="F282" s="191" t="s">
        <v>273</v>
      </c>
      <c r="G282" s="185">
        <v>3</v>
      </c>
      <c r="H282" s="185">
        <v>3</v>
      </c>
      <c r="I282" s="189">
        <v>1997.9</v>
      </c>
      <c r="J282" s="189">
        <v>1878</v>
      </c>
      <c r="K282" s="189">
        <v>1878</v>
      </c>
      <c r="L282" s="187">
        <v>88</v>
      </c>
      <c r="M282" s="185" t="s">
        <v>271</v>
      </c>
      <c r="N282" s="185" t="s">
        <v>272</v>
      </c>
      <c r="O282" s="188" t="s">
        <v>274</v>
      </c>
      <c r="P282" s="189">
        <v>5013881.0500000007</v>
      </c>
      <c r="Q282" s="189">
        <v>0</v>
      </c>
      <c r="R282" s="189">
        <v>0</v>
      </c>
      <c r="S282" s="189">
        <f>P282-Q282-R282</f>
        <v>5013881.0500000007</v>
      </c>
      <c r="T282" s="189">
        <f t="shared" si="37"/>
        <v>2509.5755793583266</v>
      </c>
      <c r="U282" s="189">
        <f>Y282</f>
        <v>2671.1445017268134</v>
      </c>
      <c r="V282" s="170">
        <f t="shared" si="41"/>
        <v>161.56892236848671</v>
      </c>
      <c r="W282" s="170"/>
      <c r="X282" s="170"/>
      <c r="Y282" s="173">
        <f t="shared" si="42"/>
        <v>2671.1445017268134</v>
      </c>
      <c r="AA282" s="173">
        <f t="shared" si="38"/>
        <v>1022</v>
      </c>
      <c r="AC282" s="173" t="s">
        <v>221</v>
      </c>
      <c r="AD282" s="173">
        <v>1057.07</v>
      </c>
      <c r="AH282" s="173" t="e">
        <f t="shared" si="39"/>
        <v>#N/A</v>
      </c>
      <c r="AS282" s="173" t="e">
        <f t="shared" si="40"/>
        <v>#N/A</v>
      </c>
    </row>
    <row r="283" spans="1:45" s="173" customFormat="1" ht="36" customHeight="1" x14ac:dyDescent="0.9">
      <c r="A283" s="173">
        <v>1</v>
      </c>
      <c r="B283" s="91">
        <f>SUBTOTAL(103,$A$16:A283)</f>
        <v>258</v>
      </c>
      <c r="C283" s="90" t="s">
        <v>698</v>
      </c>
      <c r="D283" s="185">
        <v>1905</v>
      </c>
      <c r="E283" s="185"/>
      <c r="F283" s="191" t="s">
        <v>273</v>
      </c>
      <c r="G283" s="185">
        <v>2</v>
      </c>
      <c r="H283" s="185">
        <v>1</v>
      </c>
      <c r="I283" s="189">
        <v>261.2</v>
      </c>
      <c r="J283" s="189">
        <v>236.1</v>
      </c>
      <c r="K283" s="189">
        <v>192.3</v>
      </c>
      <c r="L283" s="187">
        <v>16</v>
      </c>
      <c r="M283" s="185" t="s">
        <v>271</v>
      </c>
      <c r="N283" s="185" t="s">
        <v>272</v>
      </c>
      <c r="O283" s="188" t="s">
        <v>274</v>
      </c>
      <c r="P283" s="189">
        <v>1183504.2499999998</v>
      </c>
      <c r="Q283" s="189">
        <v>0</v>
      </c>
      <c r="R283" s="189">
        <v>0</v>
      </c>
      <c r="S283" s="189">
        <f>P283-Q283-R283</f>
        <v>1183504.2499999998</v>
      </c>
      <c r="T283" s="189">
        <f t="shared" si="37"/>
        <v>4531.0269908116379</v>
      </c>
      <c r="U283" s="189">
        <f>Y283</f>
        <v>4877.1452067381315</v>
      </c>
      <c r="V283" s="170">
        <f t="shared" si="41"/>
        <v>346.11821592649358</v>
      </c>
      <c r="W283" s="170"/>
      <c r="X283" s="170"/>
      <c r="Y283" s="173">
        <f t="shared" si="42"/>
        <v>4877.1452067381315</v>
      </c>
      <c r="AA283" s="173">
        <f t="shared" si="38"/>
        <v>243.96</v>
      </c>
      <c r="AC283" s="173" t="s">
        <v>225</v>
      </c>
      <c r="AD283" s="173">
        <v>615.20000000000005</v>
      </c>
      <c r="AH283" s="173" t="e">
        <f t="shared" si="39"/>
        <v>#N/A</v>
      </c>
      <c r="AS283" s="173" t="e">
        <f t="shared" si="40"/>
        <v>#N/A</v>
      </c>
    </row>
    <row r="284" spans="1:45" s="173" customFormat="1" ht="36" customHeight="1" x14ac:dyDescent="0.9">
      <c r="B284" s="90" t="s">
        <v>845</v>
      </c>
      <c r="C284" s="90"/>
      <c r="D284" s="185" t="s">
        <v>915</v>
      </c>
      <c r="E284" s="185" t="s">
        <v>915</v>
      </c>
      <c r="F284" s="185" t="s">
        <v>915</v>
      </c>
      <c r="G284" s="185" t="s">
        <v>915</v>
      </c>
      <c r="H284" s="185" t="s">
        <v>915</v>
      </c>
      <c r="I284" s="186">
        <f>SUM(I285:I289)</f>
        <v>4271.2</v>
      </c>
      <c r="J284" s="186">
        <f>SUM(J285:J289)</f>
        <v>3882.2</v>
      </c>
      <c r="K284" s="186">
        <f>SUM(K285:K289)</f>
        <v>3661.5999999999995</v>
      </c>
      <c r="L284" s="187">
        <f>SUM(L285:L289)</f>
        <v>161</v>
      </c>
      <c r="M284" s="185" t="s">
        <v>915</v>
      </c>
      <c r="N284" s="185" t="s">
        <v>915</v>
      </c>
      <c r="O284" s="188" t="s">
        <v>915</v>
      </c>
      <c r="P284" s="189">
        <v>12655548.699999999</v>
      </c>
      <c r="Q284" s="189">
        <f>SUM(Q285:Q289)</f>
        <v>0</v>
      </c>
      <c r="R284" s="189">
        <f>SUM(R285:R289)</f>
        <v>0</v>
      </c>
      <c r="S284" s="189">
        <f>SUM(S285:S289)</f>
        <v>12655548.699999999</v>
      </c>
      <c r="T284" s="189">
        <f t="shared" si="37"/>
        <v>2962.9960432665293</v>
      </c>
      <c r="U284" s="189">
        <f>MAX(U285:U289)</f>
        <v>7198.1160456002854</v>
      </c>
      <c r="V284" s="170">
        <f t="shared" si="41"/>
        <v>4235.120002333756</v>
      </c>
      <c r="W284" s="170"/>
      <c r="X284" s="170"/>
      <c r="Y284" s="173" t="e">
        <f t="shared" si="42"/>
        <v>#N/A</v>
      </c>
      <c r="AA284" s="173" t="e">
        <f t="shared" si="38"/>
        <v>#N/A</v>
      </c>
      <c r="AC284" s="173" t="s">
        <v>1118</v>
      </c>
      <c r="AD284" s="173">
        <v>240</v>
      </c>
      <c r="AH284" s="173" t="e">
        <f t="shared" si="39"/>
        <v>#N/A</v>
      </c>
      <c r="AS284" s="173" t="e">
        <f t="shared" si="40"/>
        <v>#N/A</v>
      </c>
    </row>
    <row r="285" spans="1:45" s="173" customFormat="1" ht="36" customHeight="1" x14ac:dyDescent="0.9">
      <c r="A285" s="173">
        <v>1</v>
      </c>
      <c r="B285" s="91">
        <f>SUBTOTAL(103,$A$16:A285)</f>
        <v>259</v>
      </c>
      <c r="C285" s="90" t="s">
        <v>713</v>
      </c>
      <c r="D285" s="185">
        <v>1968</v>
      </c>
      <c r="E285" s="185">
        <v>2010</v>
      </c>
      <c r="F285" s="191" t="s">
        <v>273</v>
      </c>
      <c r="G285" s="185">
        <v>2</v>
      </c>
      <c r="H285" s="185">
        <v>2</v>
      </c>
      <c r="I285" s="189">
        <v>794.9</v>
      </c>
      <c r="J285" s="189">
        <v>734.9</v>
      </c>
      <c r="K285" s="189">
        <v>734.9</v>
      </c>
      <c r="L285" s="187">
        <v>21</v>
      </c>
      <c r="M285" s="185" t="s">
        <v>271</v>
      </c>
      <c r="N285" s="185" t="s">
        <v>349</v>
      </c>
      <c r="O285" s="188" t="s">
        <v>739</v>
      </c>
      <c r="P285" s="189">
        <v>2231310.1999999997</v>
      </c>
      <c r="Q285" s="189">
        <v>0</v>
      </c>
      <c r="R285" s="189">
        <v>0</v>
      </c>
      <c r="S285" s="189">
        <f>P285-Q285-R285</f>
        <v>2231310.1999999997</v>
      </c>
      <c r="T285" s="189">
        <f t="shared" si="37"/>
        <v>2807.0325827148067</v>
      </c>
      <c r="U285" s="189">
        <f>AG285</f>
        <v>5116.2607865015643</v>
      </c>
      <c r="V285" s="170">
        <f t="shared" si="41"/>
        <v>2309.2282037867576</v>
      </c>
      <c r="W285" s="170"/>
      <c r="X285" s="170"/>
      <c r="Y285" s="173" t="e">
        <f t="shared" si="42"/>
        <v>#N/A</v>
      </c>
      <c r="AA285" s="173" t="e">
        <f t="shared" si="38"/>
        <v>#N/A</v>
      </c>
      <c r="AC285" s="173" t="s">
        <v>227</v>
      </c>
      <c r="AD285" s="173">
        <v>289.86</v>
      </c>
      <c r="AG285" s="173">
        <f>AH285*6191.24/J285</f>
        <v>5116.2607865015643</v>
      </c>
      <c r="AH285" s="173">
        <f t="shared" si="39"/>
        <v>607.29999999999995</v>
      </c>
      <c r="AS285" s="173" t="e">
        <f t="shared" si="40"/>
        <v>#N/A</v>
      </c>
    </row>
    <row r="286" spans="1:45" s="173" customFormat="1" ht="36" customHeight="1" x14ac:dyDescent="0.9">
      <c r="A286" s="173">
        <v>1</v>
      </c>
      <c r="B286" s="91">
        <f>SUBTOTAL(103,$A$16:A286)</f>
        <v>260</v>
      </c>
      <c r="C286" s="90" t="s">
        <v>1229</v>
      </c>
      <c r="D286" s="185">
        <v>1962</v>
      </c>
      <c r="E286" s="185"/>
      <c r="F286" s="191" t="s">
        <v>273</v>
      </c>
      <c r="G286" s="185">
        <v>2</v>
      </c>
      <c r="H286" s="185">
        <v>2</v>
      </c>
      <c r="I286" s="189">
        <v>722.8</v>
      </c>
      <c r="J286" s="189">
        <v>668.8</v>
      </c>
      <c r="K286" s="189">
        <v>668.8</v>
      </c>
      <c r="L286" s="187">
        <v>29</v>
      </c>
      <c r="M286" s="185" t="s">
        <v>271</v>
      </c>
      <c r="N286" s="185" t="s">
        <v>349</v>
      </c>
      <c r="O286" s="188" t="s">
        <v>748</v>
      </c>
      <c r="P286" s="189">
        <v>3342143.64</v>
      </c>
      <c r="Q286" s="189">
        <v>0</v>
      </c>
      <c r="R286" s="189">
        <v>0</v>
      </c>
      <c r="S286" s="189">
        <f>P286-Q286-R286</f>
        <v>3342143.64</v>
      </c>
      <c r="T286" s="189">
        <f t="shared" si="37"/>
        <v>4623.8843940232437</v>
      </c>
      <c r="U286" s="189">
        <f>AG286</f>
        <v>5991.2836842105262</v>
      </c>
      <c r="V286" s="170">
        <f t="shared" si="41"/>
        <v>1367.3992901872825</v>
      </c>
      <c r="W286" s="170"/>
      <c r="X286" s="170"/>
      <c r="Y286" s="173" t="e">
        <f t="shared" si="42"/>
        <v>#N/A</v>
      </c>
      <c r="AA286" s="173" t="e">
        <f t="shared" si="38"/>
        <v>#N/A</v>
      </c>
      <c r="AC286" s="173" t="s">
        <v>539</v>
      </c>
      <c r="AD286" s="173">
        <v>940</v>
      </c>
      <c r="AG286" s="173">
        <f>AH286*6191.24/J286</f>
        <v>5991.2836842105262</v>
      </c>
      <c r="AH286" s="173">
        <f t="shared" si="39"/>
        <v>647.20000000000005</v>
      </c>
      <c r="AS286" s="173" t="e">
        <f t="shared" si="40"/>
        <v>#N/A</v>
      </c>
    </row>
    <row r="287" spans="1:45" s="173" customFormat="1" ht="36" customHeight="1" x14ac:dyDescent="0.9">
      <c r="A287" s="173">
        <v>1</v>
      </c>
      <c r="B287" s="91">
        <f>SUBTOTAL(103,$A$16:A287)</f>
        <v>261</v>
      </c>
      <c r="C287" s="90" t="s">
        <v>1230</v>
      </c>
      <c r="D287" s="185">
        <v>1961</v>
      </c>
      <c r="E287" s="185"/>
      <c r="F287" s="191" t="s">
        <v>273</v>
      </c>
      <c r="G287" s="185">
        <v>2</v>
      </c>
      <c r="H287" s="185">
        <v>1</v>
      </c>
      <c r="I287" s="189">
        <v>678.3</v>
      </c>
      <c r="J287" s="189">
        <v>561.4</v>
      </c>
      <c r="K287" s="189">
        <v>388.6</v>
      </c>
      <c r="L287" s="187">
        <v>26</v>
      </c>
      <c r="M287" s="185" t="s">
        <v>271</v>
      </c>
      <c r="N287" s="185" t="s">
        <v>349</v>
      </c>
      <c r="O287" s="188" t="s">
        <v>748</v>
      </c>
      <c r="P287" s="189">
        <v>3337360.9</v>
      </c>
      <c r="Q287" s="189">
        <v>0</v>
      </c>
      <c r="R287" s="189">
        <v>0</v>
      </c>
      <c r="S287" s="189">
        <f>P287-Q287-R287</f>
        <v>3337360.9</v>
      </c>
      <c r="T287" s="189">
        <f t="shared" si="37"/>
        <v>4920.1841368126197</v>
      </c>
      <c r="U287" s="189">
        <f>AG287</f>
        <v>7198.1160456002854</v>
      </c>
      <c r="V287" s="170">
        <f t="shared" si="41"/>
        <v>2277.9319087876656</v>
      </c>
      <c r="W287" s="170"/>
      <c r="X287" s="170"/>
      <c r="Y287" s="173" t="e">
        <f t="shared" si="42"/>
        <v>#N/A</v>
      </c>
      <c r="AA287" s="173" t="e">
        <f t="shared" si="38"/>
        <v>#N/A</v>
      </c>
      <c r="AC287" s="173" t="s">
        <v>540</v>
      </c>
      <c r="AD287" s="173">
        <v>960</v>
      </c>
      <c r="AG287" s="173">
        <f>AH287*6191.24/J287</f>
        <v>7198.1160456002854</v>
      </c>
      <c r="AH287" s="173">
        <f t="shared" si="39"/>
        <v>652.70000000000005</v>
      </c>
      <c r="AS287" s="173" t="e">
        <f t="shared" si="40"/>
        <v>#N/A</v>
      </c>
    </row>
    <row r="288" spans="1:45" s="173" customFormat="1" ht="36" customHeight="1" x14ac:dyDescent="0.9">
      <c r="A288" s="173">
        <v>1</v>
      </c>
      <c r="B288" s="91">
        <f>SUBTOTAL(103,$A$16:A288)</f>
        <v>262</v>
      </c>
      <c r="C288" s="90" t="s">
        <v>1231</v>
      </c>
      <c r="D288" s="185">
        <v>1975</v>
      </c>
      <c r="E288" s="185"/>
      <c r="F288" s="191" t="s">
        <v>273</v>
      </c>
      <c r="G288" s="185">
        <v>2</v>
      </c>
      <c r="H288" s="185">
        <v>2</v>
      </c>
      <c r="I288" s="189">
        <v>984.2</v>
      </c>
      <c r="J288" s="189">
        <v>894.4</v>
      </c>
      <c r="K288" s="189">
        <v>846.6</v>
      </c>
      <c r="L288" s="187">
        <v>46</v>
      </c>
      <c r="M288" s="185" t="s">
        <v>271</v>
      </c>
      <c r="N288" s="185" t="s">
        <v>349</v>
      </c>
      <c r="O288" s="188" t="s">
        <v>748</v>
      </c>
      <c r="P288" s="189">
        <v>1087450.3500000001</v>
      </c>
      <c r="Q288" s="189">
        <v>0</v>
      </c>
      <c r="R288" s="189">
        <v>0</v>
      </c>
      <c r="S288" s="189">
        <f>P288-Q288-R288</f>
        <v>1087450.3500000001</v>
      </c>
      <c r="T288" s="189">
        <f t="shared" si="37"/>
        <v>1104.9078947368421</v>
      </c>
      <c r="U288" s="189">
        <v>3023.77</v>
      </c>
      <c r="V288" s="170">
        <f t="shared" si="41"/>
        <v>1918.8621052631579</v>
      </c>
      <c r="W288" s="170"/>
      <c r="X288" s="170"/>
      <c r="Y288" s="173" t="e">
        <f t="shared" si="42"/>
        <v>#N/A</v>
      </c>
      <c r="AA288" s="173" t="e">
        <f t="shared" si="38"/>
        <v>#N/A</v>
      </c>
      <c r="AC288" s="173" t="s">
        <v>541</v>
      </c>
      <c r="AD288" s="173">
        <v>960</v>
      </c>
      <c r="AH288" s="173" t="e">
        <f t="shared" si="39"/>
        <v>#N/A</v>
      </c>
      <c r="AS288" s="173" t="e">
        <f t="shared" si="40"/>
        <v>#N/A</v>
      </c>
    </row>
    <row r="289" spans="1:45" s="173" customFormat="1" ht="36" customHeight="1" x14ac:dyDescent="0.9">
      <c r="A289" s="173">
        <v>1</v>
      </c>
      <c r="B289" s="91">
        <f>SUBTOTAL(103,$A$16:A289)</f>
        <v>263</v>
      </c>
      <c r="C289" s="90" t="s">
        <v>1232</v>
      </c>
      <c r="D289" s="185">
        <v>1992</v>
      </c>
      <c r="E289" s="185"/>
      <c r="F289" s="191" t="s">
        <v>273</v>
      </c>
      <c r="G289" s="185">
        <v>3</v>
      </c>
      <c r="H289" s="185">
        <v>2</v>
      </c>
      <c r="I289" s="189">
        <v>1091</v>
      </c>
      <c r="J289" s="189">
        <v>1022.7</v>
      </c>
      <c r="K289" s="189">
        <v>1022.7</v>
      </c>
      <c r="L289" s="187">
        <v>39</v>
      </c>
      <c r="M289" s="185" t="s">
        <v>271</v>
      </c>
      <c r="N289" s="185" t="s">
        <v>275</v>
      </c>
      <c r="O289" s="188" t="s">
        <v>1364</v>
      </c>
      <c r="P289" s="189">
        <v>2657283.6100000003</v>
      </c>
      <c r="Q289" s="189">
        <v>0</v>
      </c>
      <c r="R289" s="189">
        <v>0</v>
      </c>
      <c r="S289" s="189">
        <f>P289-Q289-R289</f>
        <v>2657283.6100000003</v>
      </c>
      <c r="T289" s="189">
        <f t="shared" si="37"/>
        <v>2435.6403391384056</v>
      </c>
      <c r="U289" s="189">
        <v>3176.0272960586617</v>
      </c>
      <c r="V289" s="170">
        <f t="shared" si="41"/>
        <v>740.38695692025613</v>
      </c>
      <c r="W289" s="170"/>
      <c r="X289" s="170"/>
      <c r="Y289" s="173" t="e">
        <f t="shared" si="42"/>
        <v>#N/A</v>
      </c>
      <c r="AA289" s="173" t="e">
        <f t="shared" si="38"/>
        <v>#N/A</v>
      </c>
      <c r="AC289" s="173" t="s">
        <v>542</v>
      </c>
      <c r="AD289" s="173">
        <v>657.1</v>
      </c>
      <c r="AH289" s="173" t="e">
        <f t="shared" si="39"/>
        <v>#N/A</v>
      </c>
      <c r="AS289" s="173" t="e">
        <f t="shared" si="40"/>
        <v>#N/A</v>
      </c>
    </row>
    <row r="290" spans="1:45" s="173" customFormat="1" ht="36" customHeight="1" x14ac:dyDescent="0.9">
      <c r="B290" s="90" t="s">
        <v>846</v>
      </c>
      <c r="C290" s="90"/>
      <c r="D290" s="185" t="s">
        <v>915</v>
      </c>
      <c r="E290" s="185" t="s">
        <v>915</v>
      </c>
      <c r="F290" s="185" t="s">
        <v>915</v>
      </c>
      <c r="G290" s="185" t="s">
        <v>915</v>
      </c>
      <c r="H290" s="185" t="s">
        <v>915</v>
      </c>
      <c r="I290" s="186">
        <f>SUM(I291:I295)</f>
        <v>2996.9</v>
      </c>
      <c r="J290" s="186">
        <f>SUM(J291:J295)</f>
        <v>2371.2000000000003</v>
      </c>
      <c r="K290" s="186">
        <f>SUM(K291:K295)</f>
        <v>1491.3</v>
      </c>
      <c r="L290" s="187">
        <f>SUM(L291:L295)</f>
        <v>130</v>
      </c>
      <c r="M290" s="185" t="s">
        <v>915</v>
      </c>
      <c r="N290" s="185" t="s">
        <v>915</v>
      </c>
      <c r="O290" s="188" t="s">
        <v>915</v>
      </c>
      <c r="P290" s="189">
        <v>4997517.37</v>
      </c>
      <c r="Q290" s="189">
        <f>SUM(Q291:Q295)</f>
        <v>0</v>
      </c>
      <c r="R290" s="189">
        <f>SUM(R291:R295)</f>
        <v>0</v>
      </c>
      <c r="S290" s="189">
        <f>SUM(S291:S295)</f>
        <v>4997517.37</v>
      </c>
      <c r="T290" s="189">
        <f t="shared" si="37"/>
        <v>1667.5622710133805</v>
      </c>
      <c r="U290" s="189">
        <f>MAX(U291:U295)</f>
        <v>4795.5101073825508</v>
      </c>
      <c r="V290" s="170">
        <f t="shared" si="41"/>
        <v>3127.9478363691705</v>
      </c>
      <c r="W290" s="170"/>
      <c r="X290" s="170"/>
      <c r="Y290" s="173" t="e">
        <f t="shared" si="42"/>
        <v>#N/A</v>
      </c>
      <c r="AA290" s="173" t="e">
        <f t="shared" si="38"/>
        <v>#N/A</v>
      </c>
      <c r="AC290" s="173" t="s">
        <v>545</v>
      </c>
      <c r="AD290" s="173">
        <v>980</v>
      </c>
      <c r="AH290" s="173" t="e">
        <f t="shared" si="39"/>
        <v>#N/A</v>
      </c>
      <c r="AS290" s="173" t="e">
        <f t="shared" si="40"/>
        <v>#N/A</v>
      </c>
    </row>
    <row r="291" spans="1:45" s="173" customFormat="1" ht="36" customHeight="1" x14ac:dyDescent="0.9">
      <c r="A291" s="173">
        <v>1</v>
      </c>
      <c r="B291" s="91">
        <f>SUBTOTAL(103,$A$16:A291)</f>
        <v>264</v>
      </c>
      <c r="C291" s="90" t="s">
        <v>714</v>
      </c>
      <c r="D291" s="185">
        <v>1962</v>
      </c>
      <c r="E291" s="185"/>
      <c r="F291" s="191" t="s">
        <v>273</v>
      </c>
      <c r="G291" s="185">
        <v>2</v>
      </c>
      <c r="H291" s="185">
        <v>2</v>
      </c>
      <c r="I291" s="189">
        <v>745</v>
      </c>
      <c r="J291" s="189">
        <v>657.6</v>
      </c>
      <c r="K291" s="189">
        <v>41.5</v>
      </c>
      <c r="L291" s="187">
        <v>48</v>
      </c>
      <c r="M291" s="185" t="s">
        <v>271</v>
      </c>
      <c r="N291" s="185" t="s">
        <v>272</v>
      </c>
      <c r="O291" s="188" t="s">
        <v>274</v>
      </c>
      <c r="P291" s="189">
        <v>3572655.0300000003</v>
      </c>
      <c r="Q291" s="189">
        <v>0</v>
      </c>
      <c r="R291" s="189">
        <v>0</v>
      </c>
      <c r="S291" s="189">
        <f>P291-Q291-R291</f>
        <v>3572655.0300000003</v>
      </c>
      <c r="T291" s="189">
        <f t="shared" si="37"/>
        <v>4795.5101073825508</v>
      </c>
      <c r="U291" s="189">
        <v>4795.5101073825508</v>
      </c>
      <c r="V291" s="170">
        <f t="shared" si="41"/>
        <v>0</v>
      </c>
      <c r="W291" s="170"/>
      <c r="X291" s="170"/>
      <c r="Y291" s="173">
        <f t="shared" si="42"/>
        <v>3476.5272483221479</v>
      </c>
      <c r="AA291" s="173">
        <f t="shared" si="38"/>
        <v>496</v>
      </c>
      <c r="AC291" s="173" t="s">
        <v>546</v>
      </c>
      <c r="AD291" s="173">
        <v>710</v>
      </c>
      <c r="AH291" s="173" t="e">
        <f t="shared" si="39"/>
        <v>#N/A</v>
      </c>
      <c r="AS291" s="173" t="e">
        <f t="shared" si="40"/>
        <v>#N/A</v>
      </c>
    </row>
    <row r="292" spans="1:45" s="173" customFormat="1" ht="36" customHeight="1" x14ac:dyDescent="0.9">
      <c r="A292" s="173">
        <v>1</v>
      </c>
      <c r="B292" s="91">
        <f>SUBTOTAL(103,$A$16:A292)</f>
        <v>265</v>
      </c>
      <c r="C292" s="90" t="s">
        <v>706</v>
      </c>
      <c r="D292" s="185">
        <v>1938</v>
      </c>
      <c r="E292" s="185"/>
      <c r="F292" s="191" t="s">
        <v>338</v>
      </c>
      <c r="G292" s="185">
        <v>2</v>
      </c>
      <c r="H292" s="185">
        <v>1</v>
      </c>
      <c r="I292" s="189">
        <v>244.9</v>
      </c>
      <c r="J292" s="189">
        <v>223.9</v>
      </c>
      <c r="K292" s="189">
        <v>210.8</v>
      </c>
      <c r="L292" s="187">
        <v>15</v>
      </c>
      <c r="M292" s="185" t="s">
        <v>271</v>
      </c>
      <c r="N292" s="185" t="s">
        <v>272</v>
      </c>
      <c r="O292" s="188" t="s">
        <v>274</v>
      </c>
      <c r="P292" s="189">
        <v>144953.01</v>
      </c>
      <c r="Q292" s="189">
        <v>0</v>
      </c>
      <c r="R292" s="189">
        <v>0</v>
      </c>
      <c r="S292" s="189">
        <f>P292-Q292-R292</f>
        <v>144953.01</v>
      </c>
      <c r="T292" s="189">
        <f t="shared" si="37"/>
        <v>591.88652511229077</v>
      </c>
      <c r="U292" s="189">
        <v>807.53282972641898</v>
      </c>
      <c r="V292" s="170">
        <f t="shared" si="41"/>
        <v>215.64630461412821</v>
      </c>
      <c r="W292" s="170"/>
      <c r="X292" s="170"/>
      <c r="Y292" s="173" t="e">
        <f t="shared" si="42"/>
        <v>#N/A</v>
      </c>
      <c r="AA292" s="173" t="e">
        <f t="shared" si="38"/>
        <v>#N/A</v>
      </c>
      <c r="AC292" s="173" t="s">
        <v>547</v>
      </c>
      <c r="AD292" s="173">
        <v>520</v>
      </c>
      <c r="AH292" s="173" t="e">
        <f t="shared" si="39"/>
        <v>#N/A</v>
      </c>
      <c r="AS292" s="173" t="e">
        <f t="shared" si="40"/>
        <v>#N/A</v>
      </c>
    </row>
    <row r="293" spans="1:45" s="173" customFormat="1" ht="36" customHeight="1" x14ac:dyDescent="0.9">
      <c r="A293" s="173">
        <v>1</v>
      </c>
      <c r="B293" s="91">
        <f>SUBTOTAL(103,$A$16:A293)</f>
        <v>266</v>
      </c>
      <c r="C293" s="90" t="s">
        <v>705</v>
      </c>
      <c r="D293" s="185">
        <v>1959</v>
      </c>
      <c r="E293" s="185"/>
      <c r="F293" s="191" t="s">
        <v>273</v>
      </c>
      <c r="G293" s="185">
        <v>3</v>
      </c>
      <c r="H293" s="185">
        <v>1</v>
      </c>
      <c r="I293" s="189">
        <v>989.5</v>
      </c>
      <c r="J293" s="189">
        <v>493.8</v>
      </c>
      <c r="K293" s="189">
        <v>332</v>
      </c>
      <c r="L293" s="187">
        <v>35</v>
      </c>
      <c r="M293" s="185" t="s">
        <v>271</v>
      </c>
      <c r="N293" s="185" t="s">
        <v>272</v>
      </c>
      <c r="O293" s="188" t="s">
        <v>274</v>
      </c>
      <c r="P293" s="189">
        <v>610721.7699999999</v>
      </c>
      <c r="Q293" s="189">
        <v>0</v>
      </c>
      <c r="R293" s="189">
        <v>0</v>
      </c>
      <c r="S293" s="189">
        <f>P293-Q293-R293</f>
        <v>610721.7699999999</v>
      </c>
      <c r="T293" s="189">
        <f t="shared" si="37"/>
        <v>617.20239514906507</v>
      </c>
      <c r="U293" s="189">
        <v>673.78</v>
      </c>
      <c r="V293" s="170">
        <f t="shared" si="41"/>
        <v>56.577604850934904</v>
      </c>
      <c r="W293" s="170"/>
      <c r="X293" s="170"/>
      <c r="Y293" s="173" t="e">
        <f t="shared" si="42"/>
        <v>#N/A</v>
      </c>
      <c r="AA293" s="173" t="e">
        <f t="shared" si="38"/>
        <v>#N/A</v>
      </c>
      <c r="AC293" s="173" t="s">
        <v>548</v>
      </c>
      <c r="AD293" s="173">
        <v>925.13</v>
      </c>
      <c r="AH293" s="173" t="e">
        <f t="shared" si="39"/>
        <v>#N/A</v>
      </c>
      <c r="AS293" s="173" t="e">
        <f t="shared" si="40"/>
        <v>#N/A</v>
      </c>
    </row>
    <row r="294" spans="1:45" s="173" customFormat="1" ht="36" customHeight="1" x14ac:dyDescent="0.9">
      <c r="A294" s="173">
        <v>1</v>
      </c>
      <c r="B294" s="91">
        <f>SUBTOTAL(103,$A$16:A294)</f>
        <v>267</v>
      </c>
      <c r="C294" s="90" t="s">
        <v>1237</v>
      </c>
      <c r="D294" s="185">
        <v>1971</v>
      </c>
      <c r="E294" s="185"/>
      <c r="F294" s="191" t="s">
        <v>273</v>
      </c>
      <c r="G294" s="185">
        <v>2</v>
      </c>
      <c r="H294" s="185">
        <v>2</v>
      </c>
      <c r="I294" s="189">
        <v>719</v>
      </c>
      <c r="J294" s="189">
        <v>719</v>
      </c>
      <c r="K294" s="189">
        <v>668.2</v>
      </c>
      <c r="L294" s="187">
        <v>21</v>
      </c>
      <c r="M294" s="185" t="s">
        <v>271</v>
      </c>
      <c r="N294" s="185" t="s">
        <v>275</v>
      </c>
      <c r="O294" s="188" t="s">
        <v>1363</v>
      </c>
      <c r="P294" s="189">
        <v>457734.2</v>
      </c>
      <c r="Q294" s="189">
        <v>0</v>
      </c>
      <c r="R294" s="189">
        <v>0</v>
      </c>
      <c r="S294" s="189">
        <f>P294-Q294-R294</f>
        <v>457734.2</v>
      </c>
      <c r="T294" s="189">
        <f t="shared" si="37"/>
        <v>636.6261474269819</v>
      </c>
      <c r="U294" s="189">
        <v>774.61278164116845</v>
      </c>
      <c r="V294" s="170">
        <f t="shared" si="41"/>
        <v>137.98663421418655</v>
      </c>
      <c r="W294" s="170"/>
      <c r="X294" s="170"/>
      <c r="Y294" s="173" t="e">
        <f t="shared" si="42"/>
        <v>#N/A</v>
      </c>
      <c r="AA294" s="173" t="e">
        <f t="shared" si="38"/>
        <v>#N/A</v>
      </c>
      <c r="AC294" s="173" t="s">
        <v>549</v>
      </c>
      <c r="AD294" s="173">
        <v>760</v>
      </c>
      <c r="AH294" s="173" t="e">
        <f t="shared" si="39"/>
        <v>#N/A</v>
      </c>
      <c r="AS294" s="173" t="e">
        <f t="shared" si="40"/>
        <v>#N/A</v>
      </c>
    </row>
    <row r="295" spans="1:45" s="173" customFormat="1" ht="36" customHeight="1" x14ac:dyDescent="0.9">
      <c r="A295" s="173">
        <v>1</v>
      </c>
      <c r="B295" s="91">
        <f>SUBTOTAL(103,$A$16:A295)</f>
        <v>268</v>
      </c>
      <c r="C295" s="90" t="s">
        <v>1238</v>
      </c>
      <c r="D295" s="185" t="s">
        <v>376</v>
      </c>
      <c r="E295" s="185"/>
      <c r="F295" s="191" t="s">
        <v>273</v>
      </c>
      <c r="G295" s="185">
        <v>2</v>
      </c>
      <c r="H295" s="185">
        <v>1</v>
      </c>
      <c r="I295" s="189">
        <v>298.5</v>
      </c>
      <c r="J295" s="189">
        <v>276.89999999999998</v>
      </c>
      <c r="K295" s="189">
        <v>238.8</v>
      </c>
      <c r="L295" s="187">
        <v>11</v>
      </c>
      <c r="M295" s="185" t="s">
        <v>271</v>
      </c>
      <c r="N295" s="185" t="s">
        <v>275</v>
      </c>
      <c r="O295" s="188" t="s">
        <v>1024</v>
      </c>
      <c r="P295" s="189">
        <v>211453.36</v>
      </c>
      <c r="Q295" s="189">
        <v>0</v>
      </c>
      <c r="R295" s="189">
        <v>0</v>
      </c>
      <c r="S295" s="189">
        <f>P295-Q295-R295</f>
        <v>211453.36</v>
      </c>
      <c r="T295" s="189">
        <f t="shared" si="37"/>
        <v>708.38646566164152</v>
      </c>
      <c r="U295" s="189">
        <v>849.44999999999993</v>
      </c>
      <c r="V295" s="170">
        <f t="shared" si="41"/>
        <v>141.06353433835841</v>
      </c>
      <c r="W295" s="170"/>
      <c r="X295" s="170"/>
      <c r="Y295" s="173" t="e">
        <f t="shared" si="42"/>
        <v>#N/A</v>
      </c>
      <c r="AA295" s="173" t="e">
        <f t="shared" si="38"/>
        <v>#N/A</v>
      </c>
      <c r="AC295" s="173" t="s">
        <v>550</v>
      </c>
      <c r="AD295" s="173">
        <v>524</v>
      </c>
      <c r="AH295" s="173" t="e">
        <f t="shared" si="39"/>
        <v>#N/A</v>
      </c>
      <c r="AS295" s="173" t="e">
        <f t="shared" si="40"/>
        <v>#N/A</v>
      </c>
    </row>
    <row r="296" spans="1:45" s="173" customFormat="1" ht="36" customHeight="1" x14ac:dyDescent="0.9">
      <c r="B296" s="90" t="s">
        <v>847</v>
      </c>
      <c r="C296" s="90"/>
      <c r="D296" s="185" t="s">
        <v>915</v>
      </c>
      <c r="E296" s="185" t="s">
        <v>915</v>
      </c>
      <c r="F296" s="185" t="s">
        <v>915</v>
      </c>
      <c r="G296" s="185" t="s">
        <v>915</v>
      </c>
      <c r="H296" s="185" t="s">
        <v>915</v>
      </c>
      <c r="I296" s="186">
        <f>I297</f>
        <v>3504.3</v>
      </c>
      <c r="J296" s="186">
        <f>J297</f>
        <v>3356</v>
      </c>
      <c r="K296" s="186">
        <f>K297</f>
        <v>2316.9</v>
      </c>
      <c r="L296" s="187">
        <f>L297</f>
        <v>153</v>
      </c>
      <c r="M296" s="185" t="s">
        <v>915</v>
      </c>
      <c r="N296" s="185" t="s">
        <v>915</v>
      </c>
      <c r="O296" s="188" t="s">
        <v>915</v>
      </c>
      <c r="P296" s="189">
        <v>2006227.2900000003</v>
      </c>
      <c r="Q296" s="189">
        <f>Q297</f>
        <v>0</v>
      </c>
      <c r="R296" s="189">
        <f>R297</f>
        <v>0</v>
      </c>
      <c r="S296" s="189">
        <f>S297</f>
        <v>2006227.2900000003</v>
      </c>
      <c r="T296" s="189">
        <f t="shared" si="37"/>
        <v>572.50443455183631</v>
      </c>
      <c r="U296" s="189">
        <f>T296</f>
        <v>572.50443455183631</v>
      </c>
      <c r="V296" s="170">
        <f t="shared" si="41"/>
        <v>0</v>
      </c>
      <c r="W296" s="170"/>
      <c r="X296" s="170"/>
      <c r="Y296" s="173" t="e">
        <f t="shared" si="42"/>
        <v>#N/A</v>
      </c>
      <c r="AA296" s="173" t="e">
        <f t="shared" si="38"/>
        <v>#N/A</v>
      </c>
      <c r="AC296" s="173" t="s">
        <v>551</v>
      </c>
      <c r="AD296" s="173">
        <v>1037</v>
      </c>
      <c r="AH296" s="173" t="e">
        <f t="shared" si="39"/>
        <v>#N/A</v>
      </c>
      <c r="AS296" s="173" t="e">
        <f t="shared" si="40"/>
        <v>#N/A</v>
      </c>
    </row>
    <row r="297" spans="1:45" s="173" customFormat="1" ht="36" customHeight="1" x14ac:dyDescent="0.9">
      <c r="A297" s="173">
        <v>1</v>
      </c>
      <c r="B297" s="91">
        <f>SUBTOTAL(103,$A$16:A297)</f>
        <v>269</v>
      </c>
      <c r="C297" s="90" t="s">
        <v>703</v>
      </c>
      <c r="D297" s="185">
        <v>1984</v>
      </c>
      <c r="E297" s="185"/>
      <c r="F297" s="191" t="s">
        <v>344</v>
      </c>
      <c r="G297" s="185">
        <v>5</v>
      </c>
      <c r="H297" s="185">
        <v>4</v>
      </c>
      <c r="I297" s="189">
        <v>3504.3</v>
      </c>
      <c r="J297" s="189">
        <v>3356</v>
      </c>
      <c r="K297" s="189">
        <v>2316.9</v>
      </c>
      <c r="L297" s="187">
        <v>153</v>
      </c>
      <c r="M297" s="185" t="s">
        <v>271</v>
      </c>
      <c r="N297" s="185" t="s">
        <v>275</v>
      </c>
      <c r="O297" s="188" t="s">
        <v>1024</v>
      </c>
      <c r="P297" s="189">
        <v>2006227.2900000003</v>
      </c>
      <c r="Q297" s="189">
        <v>0</v>
      </c>
      <c r="R297" s="189">
        <v>0</v>
      </c>
      <c r="S297" s="189">
        <f>P297-Q297-R297</f>
        <v>2006227.2900000003</v>
      </c>
      <c r="T297" s="189">
        <f t="shared" si="37"/>
        <v>572.50443455183631</v>
      </c>
      <c r="U297" s="189">
        <f>T297</f>
        <v>572.50443455183631</v>
      </c>
      <c r="V297" s="170">
        <f t="shared" si="41"/>
        <v>0</v>
      </c>
      <c r="W297" s="170"/>
      <c r="X297" s="170"/>
      <c r="Y297" s="173">
        <f t="shared" si="42"/>
        <v>1045.9097166338497</v>
      </c>
      <c r="AA297" s="173">
        <f t="shared" si="38"/>
        <v>701.9</v>
      </c>
      <c r="AC297" s="173" t="s">
        <v>552</v>
      </c>
      <c r="AD297" s="173">
        <v>650</v>
      </c>
      <c r="AH297" s="173" t="e">
        <f t="shared" si="39"/>
        <v>#N/A</v>
      </c>
      <c r="AS297" s="173" t="e">
        <f t="shared" si="40"/>
        <v>#N/A</v>
      </c>
    </row>
    <row r="298" spans="1:45" s="173" customFormat="1" ht="36" customHeight="1" x14ac:dyDescent="0.9">
      <c r="B298" s="90" t="s">
        <v>848</v>
      </c>
      <c r="C298" s="90"/>
      <c r="D298" s="185" t="s">
        <v>915</v>
      </c>
      <c r="E298" s="185" t="s">
        <v>915</v>
      </c>
      <c r="F298" s="185" t="s">
        <v>915</v>
      </c>
      <c r="G298" s="185" t="s">
        <v>915</v>
      </c>
      <c r="H298" s="185" t="s">
        <v>915</v>
      </c>
      <c r="I298" s="186">
        <f>SUM(I299:I315)</f>
        <v>39570.9</v>
      </c>
      <c r="J298" s="186">
        <f>SUM(J299:J315)</f>
        <v>31164.500000000004</v>
      </c>
      <c r="K298" s="186">
        <f>SUM(K299:K315)</f>
        <v>28209.999999999996</v>
      </c>
      <c r="L298" s="187">
        <f>SUM(L299:L315)</f>
        <v>1157</v>
      </c>
      <c r="M298" s="185" t="s">
        <v>915</v>
      </c>
      <c r="N298" s="185" t="s">
        <v>915</v>
      </c>
      <c r="O298" s="188" t="s">
        <v>915</v>
      </c>
      <c r="P298" s="186">
        <v>52327939.800000004</v>
      </c>
      <c r="Q298" s="186">
        <f>SUM(Q299:Q315)</f>
        <v>0</v>
      </c>
      <c r="R298" s="186">
        <f>SUM(R299:R315)</f>
        <v>0</v>
      </c>
      <c r="S298" s="186">
        <f>SUM(S299:S315)</f>
        <v>52327939.800000004</v>
      </c>
      <c r="T298" s="189">
        <f t="shared" si="37"/>
        <v>1322.3843733652761</v>
      </c>
      <c r="U298" s="189">
        <f>MAX(U299:U315)</f>
        <v>16364.662285559725</v>
      </c>
      <c r="V298" s="170">
        <f t="shared" si="41"/>
        <v>15042.27791219445</v>
      </c>
      <c r="W298" s="170"/>
      <c r="X298" s="170"/>
      <c r="Y298" s="173" t="e">
        <f t="shared" si="42"/>
        <v>#N/A</v>
      </c>
      <c r="AA298" s="173" t="e">
        <f t="shared" si="38"/>
        <v>#N/A</v>
      </c>
      <c r="AC298" s="173" t="s">
        <v>553</v>
      </c>
      <c r="AD298" s="173">
        <v>1068</v>
      </c>
      <c r="AH298" s="173" t="e">
        <f t="shared" si="39"/>
        <v>#N/A</v>
      </c>
      <c r="AS298" s="173" t="e">
        <f t="shared" si="40"/>
        <v>#N/A</v>
      </c>
    </row>
    <row r="299" spans="1:45" s="173" customFormat="1" ht="36" customHeight="1" x14ac:dyDescent="0.9">
      <c r="A299" s="173">
        <v>1</v>
      </c>
      <c r="B299" s="91">
        <f>SUBTOTAL(103,$A$16:A299)</f>
        <v>270</v>
      </c>
      <c r="C299" s="90" t="s">
        <v>707</v>
      </c>
      <c r="D299" s="185">
        <v>1981</v>
      </c>
      <c r="E299" s="185"/>
      <c r="F299" s="191" t="s">
        <v>273</v>
      </c>
      <c r="G299" s="185">
        <v>2</v>
      </c>
      <c r="H299" s="185">
        <v>3</v>
      </c>
      <c r="I299" s="189">
        <v>975</v>
      </c>
      <c r="J299" s="189">
        <v>901.5</v>
      </c>
      <c r="K299" s="189">
        <v>901.5</v>
      </c>
      <c r="L299" s="187">
        <v>42</v>
      </c>
      <c r="M299" s="185" t="s">
        <v>271</v>
      </c>
      <c r="N299" s="185" t="s">
        <v>272</v>
      </c>
      <c r="O299" s="188" t="s">
        <v>274</v>
      </c>
      <c r="P299" s="189">
        <v>4286171.88</v>
      </c>
      <c r="Q299" s="189">
        <v>0</v>
      </c>
      <c r="R299" s="189">
        <v>0</v>
      </c>
      <c r="S299" s="189">
        <f t="shared" ref="S299:S313" si="43">P299-Q299-R299</f>
        <v>4286171.88</v>
      </c>
      <c r="T299" s="189">
        <f t="shared" si="37"/>
        <v>4396.0737230769228</v>
      </c>
      <c r="U299" s="189">
        <v>4396.0737230769228</v>
      </c>
      <c r="V299" s="170">
        <f t="shared" si="41"/>
        <v>0</v>
      </c>
      <c r="W299" s="170"/>
      <c r="X299" s="170"/>
      <c r="Y299" s="173">
        <f t="shared" si="42"/>
        <v>3775.7630769230768</v>
      </c>
      <c r="AA299" s="173">
        <f t="shared" si="38"/>
        <v>705</v>
      </c>
      <c r="AC299" s="173" t="s">
        <v>554</v>
      </c>
      <c r="AD299" s="173">
        <v>1062</v>
      </c>
      <c r="AH299" s="173" t="e">
        <f t="shared" si="39"/>
        <v>#N/A</v>
      </c>
      <c r="AS299" s="173" t="e">
        <f t="shared" si="40"/>
        <v>#N/A</v>
      </c>
    </row>
    <row r="300" spans="1:45" s="173" customFormat="1" ht="36" customHeight="1" x14ac:dyDescent="0.9">
      <c r="A300" s="173">
        <v>1</v>
      </c>
      <c r="B300" s="91">
        <f>SUBTOTAL(103,$A$16:A300)</f>
        <v>271</v>
      </c>
      <c r="C300" s="90" t="s">
        <v>691</v>
      </c>
      <c r="D300" s="185">
        <v>1976</v>
      </c>
      <c r="E300" s="185"/>
      <c r="F300" s="191" t="s">
        <v>273</v>
      </c>
      <c r="G300" s="185">
        <v>5</v>
      </c>
      <c r="H300" s="185">
        <v>2</v>
      </c>
      <c r="I300" s="189">
        <v>3568.3</v>
      </c>
      <c r="J300" s="189">
        <v>1111.4000000000001</v>
      </c>
      <c r="K300" s="189">
        <v>1111.4000000000001</v>
      </c>
      <c r="L300" s="187">
        <v>23</v>
      </c>
      <c r="M300" s="185" t="s">
        <v>271</v>
      </c>
      <c r="N300" s="185" t="s">
        <v>275</v>
      </c>
      <c r="O300" s="188" t="s">
        <v>740</v>
      </c>
      <c r="P300" s="189">
        <v>6712811.0000000009</v>
      </c>
      <c r="Q300" s="189">
        <v>0</v>
      </c>
      <c r="R300" s="189">
        <v>0</v>
      </c>
      <c r="S300" s="189">
        <f t="shared" si="43"/>
        <v>6712811.0000000009</v>
      </c>
      <c r="T300" s="189">
        <f t="shared" si="37"/>
        <v>1881.2350418967017</v>
      </c>
      <c r="U300" s="189">
        <v>1881.2350418967017</v>
      </c>
      <c r="V300" s="170">
        <f t="shared" si="41"/>
        <v>0</v>
      </c>
      <c r="W300" s="170"/>
      <c r="X300" s="170"/>
      <c r="Y300" s="173">
        <f t="shared" si="42"/>
        <v>1163.3918112266344</v>
      </c>
      <c r="AA300" s="173">
        <f t="shared" si="38"/>
        <v>795</v>
      </c>
      <c r="AC300" s="173" t="s">
        <v>555</v>
      </c>
      <c r="AD300" s="173">
        <v>980</v>
      </c>
      <c r="AH300" s="173" t="e">
        <f t="shared" si="39"/>
        <v>#N/A</v>
      </c>
      <c r="AS300" s="173" t="e">
        <f t="shared" si="40"/>
        <v>#N/A</v>
      </c>
    </row>
    <row r="301" spans="1:45" s="173" customFormat="1" ht="36" customHeight="1" x14ac:dyDescent="0.9">
      <c r="A301" s="173">
        <v>1</v>
      </c>
      <c r="B301" s="91">
        <f>SUBTOTAL(103,$A$16:A301)</f>
        <v>272</v>
      </c>
      <c r="C301" s="90" t="s">
        <v>686</v>
      </c>
      <c r="D301" s="185">
        <v>1985</v>
      </c>
      <c r="E301" s="185"/>
      <c r="F301" s="191" t="s">
        <v>273</v>
      </c>
      <c r="G301" s="185">
        <v>9</v>
      </c>
      <c r="H301" s="185">
        <v>1</v>
      </c>
      <c r="I301" s="189">
        <v>4900.3</v>
      </c>
      <c r="J301" s="189">
        <v>4900</v>
      </c>
      <c r="K301" s="189">
        <v>4450.3</v>
      </c>
      <c r="L301" s="187">
        <v>123</v>
      </c>
      <c r="M301" s="185" t="s">
        <v>271</v>
      </c>
      <c r="N301" s="185" t="s">
        <v>275</v>
      </c>
      <c r="O301" s="188" t="s">
        <v>740</v>
      </c>
      <c r="P301" s="189">
        <v>1863696.8900000001</v>
      </c>
      <c r="Q301" s="189">
        <v>0</v>
      </c>
      <c r="R301" s="189">
        <v>0</v>
      </c>
      <c r="S301" s="189">
        <f t="shared" si="43"/>
        <v>1863696.8900000001</v>
      </c>
      <c r="T301" s="189">
        <f t="shared" si="37"/>
        <v>380.3230189988368</v>
      </c>
      <c r="U301" s="189">
        <f>Y301</f>
        <v>959.04740526090234</v>
      </c>
      <c r="V301" s="170">
        <f t="shared" si="41"/>
        <v>578.72438626206554</v>
      </c>
      <c r="W301" s="170"/>
      <c r="X301" s="170"/>
      <c r="Y301" s="173">
        <f t="shared" si="42"/>
        <v>959.04740526090234</v>
      </c>
      <c r="AA301" s="173">
        <f t="shared" si="38"/>
        <v>900</v>
      </c>
      <c r="AC301" s="173" t="s">
        <v>822</v>
      </c>
      <c r="AD301" s="173">
        <v>635</v>
      </c>
      <c r="AH301" s="173" t="e">
        <f t="shared" si="39"/>
        <v>#N/A</v>
      </c>
      <c r="AS301" s="173" t="e">
        <f t="shared" si="40"/>
        <v>#N/A</v>
      </c>
    </row>
    <row r="302" spans="1:45" s="173" customFormat="1" ht="36" customHeight="1" x14ac:dyDescent="0.9">
      <c r="A302" s="173">
        <v>1</v>
      </c>
      <c r="B302" s="91">
        <f>SUBTOTAL(103,$A$16:A302)</f>
        <v>273</v>
      </c>
      <c r="C302" s="90" t="s">
        <v>687</v>
      </c>
      <c r="D302" s="185">
        <v>1992</v>
      </c>
      <c r="E302" s="185"/>
      <c r="F302" s="191" t="s">
        <v>273</v>
      </c>
      <c r="G302" s="185">
        <v>9</v>
      </c>
      <c r="H302" s="185">
        <v>1</v>
      </c>
      <c r="I302" s="189">
        <v>4865.3</v>
      </c>
      <c r="J302" s="189">
        <v>4865.3</v>
      </c>
      <c r="K302" s="189">
        <v>4560</v>
      </c>
      <c r="L302" s="187">
        <v>111</v>
      </c>
      <c r="M302" s="185" t="s">
        <v>271</v>
      </c>
      <c r="N302" s="185" t="s">
        <v>275</v>
      </c>
      <c r="O302" s="188" t="s">
        <v>740</v>
      </c>
      <c r="P302" s="189">
        <v>1863696.8900000001</v>
      </c>
      <c r="Q302" s="189">
        <v>0</v>
      </c>
      <c r="R302" s="189">
        <v>0</v>
      </c>
      <c r="S302" s="189">
        <f t="shared" si="43"/>
        <v>1863696.8900000001</v>
      </c>
      <c r="T302" s="189">
        <f t="shared" si="37"/>
        <v>383.05898711281935</v>
      </c>
      <c r="U302" s="189">
        <f>Y302</f>
        <v>965.94660144287093</v>
      </c>
      <c r="V302" s="170">
        <f t="shared" si="41"/>
        <v>582.88761433005152</v>
      </c>
      <c r="W302" s="170"/>
      <c r="X302" s="170"/>
      <c r="Y302" s="173">
        <f t="shared" si="42"/>
        <v>965.94660144287093</v>
      </c>
      <c r="AA302" s="173">
        <f t="shared" si="38"/>
        <v>900</v>
      </c>
      <c r="AC302" s="173" t="s">
        <v>556</v>
      </c>
      <c r="AD302" s="173">
        <v>960</v>
      </c>
      <c r="AH302" s="173" t="e">
        <f t="shared" si="39"/>
        <v>#N/A</v>
      </c>
      <c r="AS302" s="173" t="e">
        <f t="shared" si="40"/>
        <v>#N/A</v>
      </c>
    </row>
    <row r="303" spans="1:45" s="173" customFormat="1" ht="36" customHeight="1" x14ac:dyDescent="0.9">
      <c r="A303" s="173">
        <v>1</v>
      </c>
      <c r="B303" s="91">
        <f>SUBTOTAL(103,$A$16:A303)</f>
        <v>274</v>
      </c>
      <c r="C303" s="90" t="s">
        <v>688</v>
      </c>
      <c r="D303" s="185">
        <v>1982</v>
      </c>
      <c r="E303" s="185"/>
      <c r="F303" s="191" t="s">
        <v>273</v>
      </c>
      <c r="G303" s="185">
        <v>9</v>
      </c>
      <c r="H303" s="185">
        <v>1</v>
      </c>
      <c r="I303" s="189">
        <v>4912.2</v>
      </c>
      <c r="J303" s="189">
        <v>2437.9</v>
      </c>
      <c r="K303" s="189">
        <v>2009.8</v>
      </c>
      <c r="L303" s="187">
        <v>134</v>
      </c>
      <c r="M303" s="185" t="s">
        <v>271</v>
      </c>
      <c r="N303" s="185" t="s">
        <v>275</v>
      </c>
      <c r="O303" s="188" t="s">
        <v>740</v>
      </c>
      <c r="P303" s="189">
        <v>1863696.87</v>
      </c>
      <c r="Q303" s="189">
        <v>0</v>
      </c>
      <c r="R303" s="189">
        <v>0</v>
      </c>
      <c r="S303" s="189">
        <f t="shared" si="43"/>
        <v>1863696.87</v>
      </c>
      <c r="T303" s="189">
        <f t="shared" si="37"/>
        <v>379.40166727739103</v>
      </c>
      <c r="U303" s="189">
        <f>Y303</f>
        <v>956.72407475265663</v>
      </c>
      <c r="V303" s="170">
        <f t="shared" si="41"/>
        <v>577.32240747526566</v>
      </c>
      <c r="W303" s="170"/>
      <c r="X303" s="170"/>
      <c r="Y303" s="173">
        <f t="shared" si="42"/>
        <v>956.72407475265663</v>
      </c>
      <c r="AA303" s="173">
        <f t="shared" si="38"/>
        <v>900</v>
      </c>
      <c r="AC303" s="173" t="s">
        <v>557</v>
      </c>
      <c r="AD303" s="173">
        <v>775</v>
      </c>
      <c r="AH303" s="173" t="e">
        <f t="shared" si="39"/>
        <v>#N/A</v>
      </c>
      <c r="AS303" s="173" t="e">
        <f t="shared" si="40"/>
        <v>#N/A</v>
      </c>
    </row>
    <row r="304" spans="1:45" s="173" customFormat="1" ht="36" customHeight="1" x14ac:dyDescent="0.9">
      <c r="A304" s="173">
        <v>1</v>
      </c>
      <c r="B304" s="91">
        <f>SUBTOTAL(103,$A$16:A304)</f>
        <v>275</v>
      </c>
      <c r="C304" s="90" t="s">
        <v>681</v>
      </c>
      <c r="D304" s="185">
        <v>1994</v>
      </c>
      <c r="E304" s="185"/>
      <c r="F304" s="191" t="s">
        <v>273</v>
      </c>
      <c r="G304" s="185">
        <v>9</v>
      </c>
      <c r="H304" s="185">
        <v>1</v>
      </c>
      <c r="I304" s="189">
        <v>4455.3</v>
      </c>
      <c r="J304" s="189">
        <v>3825.3</v>
      </c>
      <c r="K304" s="189">
        <v>3825.3</v>
      </c>
      <c r="L304" s="187">
        <v>122</v>
      </c>
      <c r="M304" s="185" t="s">
        <v>271</v>
      </c>
      <c r="N304" s="185" t="s">
        <v>349</v>
      </c>
      <c r="O304" s="188" t="s">
        <v>741</v>
      </c>
      <c r="P304" s="189">
        <v>4188237.53</v>
      </c>
      <c r="Q304" s="189">
        <v>0</v>
      </c>
      <c r="R304" s="189">
        <v>0</v>
      </c>
      <c r="S304" s="189">
        <f t="shared" si="43"/>
        <v>4188237.53</v>
      </c>
      <c r="T304" s="189">
        <f t="shared" si="37"/>
        <v>940.05735416245807</v>
      </c>
      <c r="U304" s="189">
        <f>T304</f>
        <v>940.05735416245807</v>
      </c>
      <c r="V304" s="170">
        <f t="shared" si="41"/>
        <v>0</v>
      </c>
      <c r="W304" s="170"/>
      <c r="X304" s="170"/>
      <c r="Y304" s="173" t="e">
        <f t="shared" si="42"/>
        <v>#N/A</v>
      </c>
      <c r="AA304" s="173" t="e">
        <f t="shared" si="38"/>
        <v>#N/A</v>
      </c>
      <c r="AC304" s="173" t="s">
        <v>1428</v>
      </c>
      <c r="AD304" s="173">
        <v>1207.0999999999999</v>
      </c>
      <c r="AH304" s="173" t="e">
        <f t="shared" si="39"/>
        <v>#N/A</v>
      </c>
      <c r="AR304" s="173">
        <f>AS304*2207413/I304</f>
        <v>990.9155387964895</v>
      </c>
      <c r="AS304" s="173">
        <f t="shared" si="40"/>
        <v>2</v>
      </c>
    </row>
    <row r="305" spans="1:45" s="173" customFormat="1" ht="36" customHeight="1" x14ac:dyDescent="0.9">
      <c r="A305" s="173">
        <v>1</v>
      </c>
      <c r="B305" s="91">
        <f>SUBTOTAL(103,$A$16:A305)</f>
        <v>276</v>
      </c>
      <c r="C305" s="90" t="s">
        <v>694</v>
      </c>
      <c r="D305" s="185">
        <v>1917</v>
      </c>
      <c r="E305" s="185"/>
      <c r="F305" s="191" t="s">
        <v>273</v>
      </c>
      <c r="G305" s="185">
        <v>2</v>
      </c>
      <c r="H305" s="185">
        <v>1</v>
      </c>
      <c r="I305" s="189">
        <v>722.2</v>
      </c>
      <c r="J305" s="189">
        <v>298.5</v>
      </c>
      <c r="K305" s="189">
        <v>298.5</v>
      </c>
      <c r="L305" s="187">
        <v>8</v>
      </c>
      <c r="M305" s="185" t="s">
        <v>271</v>
      </c>
      <c r="N305" s="185" t="s">
        <v>272</v>
      </c>
      <c r="O305" s="188" t="s">
        <v>274</v>
      </c>
      <c r="P305" s="189">
        <v>2668979.4699999997</v>
      </c>
      <c r="Q305" s="189">
        <v>0</v>
      </c>
      <c r="R305" s="189">
        <v>0</v>
      </c>
      <c r="S305" s="189">
        <f t="shared" si="43"/>
        <v>2668979.4699999997</v>
      </c>
      <c r="T305" s="189">
        <f t="shared" si="37"/>
        <v>3695.6237468845188</v>
      </c>
      <c r="U305" s="189">
        <f>Y305</f>
        <v>3762.7038493492109</v>
      </c>
      <c r="V305" s="170">
        <f t="shared" si="41"/>
        <v>67.080102464692118</v>
      </c>
      <c r="W305" s="170"/>
      <c r="X305" s="170"/>
      <c r="Y305" s="173">
        <f t="shared" si="42"/>
        <v>3762.7038493492109</v>
      </c>
      <c r="AA305" s="173">
        <f t="shared" si="38"/>
        <v>520.4</v>
      </c>
      <c r="AC305" s="173" t="s">
        <v>823</v>
      </c>
      <c r="AD305" s="173">
        <v>700</v>
      </c>
      <c r="AH305" s="173" t="e">
        <f t="shared" si="39"/>
        <v>#N/A</v>
      </c>
      <c r="AS305" s="173" t="e">
        <f t="shared" si="40"/>
        <v>#N/A</v>
      </c>
    </row>
    <row r="306" spans="1:45" s="173" customFormat="1" ht="36" customHeight="1" x14ac:dyDescent="0.9">
      <c r="A306" s="173">
        <v>1</v>
      </c>
      <c r="B306" s="91">
        <f>SUBTOTAL(103,$A$16:A306)</f>
        <v>277</v>
      </c>
      <c r="C306" s="90" t="s">
        <v>682</v>
      </c>
      <c r="D306" s="185">
        <v>1963</v>
      </c>
      <c r="E306" s="185"/>
      <c r="F306" s="191" t="s">
        <v>273</v>
      </c>
      <c r="G306" s="185">
        <v>3</v>
      </c>
      <c r="H306" s="185">
        <v>3</v>
      </c>
      <c r="I306" s="189">
        <v>1703.8</v>
      </c>
      <c r="J306" s="189">
        <v>1339.8</v>
      </c>
      <c r="K306" s="189">
        <v>1300</v>
      </c>
      <c r="L306" s="187">
        <v>56</v>
      </c>
      <c r="M306" s="185" t="s">
        <v>271</v>
      </c>
      <c r="N306" s="185" t="s">
        <v>275</v>
      </c>
      <c r="O306" s="188" t="s">
        <v>742</v>
      </c>
      <c r="P306" s="189">
        <v>5111669.0699999994</v>
      </c>
      <c r="Q306" s="189">
        <v>0</v>
      </c>
      <c r="R306" s="189">
        <v>0</v>
      </c>
      <c r="S306" s="189">
        <f t="shared" si="43"/>
        <v>5111669.0699999994</v>
      </c>
      <c r="T306" s="189">
        <f t="shared" si="37"/>
        <v>3000.1579234651954</v>
      </c>
      <c r="U306" s="189">
        <v>3000.1579234651954</v>
      </c>
      <c r="V306" s="170">
        <f t="shared" si="41"/>
        <v>0</v>
      </c>
      <c r="W306" s="170"/>
      <c r="X306" s="170"/>
      <c r="Y306" s="173">
        <f t="shared" si="42"/>
        <v>2325.5674609695975</v>
      </c>
      <c r="AA306" s="173">
        <f t="shared" si="38"/>
        <v>758.8</v>
      </c>
      <c r="AC306" s="173" t="s">
        <v>559</v>
      </c>
      <c r="AD306" s="173">
        <v>210</v>
      </c>
      <c r="AH306" s="173" t="e">
        <f t="shared" si="39"/>
        <v>#N/A</v>
      </c>
      <c r="AS306" s="173" t="e">
        <f t="shared" si="40"/>
        <v>#N/A</v>
      </c>
    </row>
    <row r="307" spans="1:45" s="173" customFormat="1" ht="36" customHeight="1" x14ac:dyDescent="0.9">
      <c r="A307" s="173">
        <v>1</v>
      </c>
      <c r="B307" s="91">
        <f>SUBTOTAL(103,$A$16:A307)</f>
        <v>278</v>
      </c>
      <c r="C307" s="90" t="s">
        <v>678</v>
      </c>
      <c r="D307" s="185">
        <v>1927</v>
      </c>
      <c r="E307" s="185"/>
      <c r="F307" s="191" t="s">
        <v>273</v>
      </c>
      <c r="G307" s="185">
        <v>2</v>
      </c>
      <c r="H307" s="185">
        <v>2</v>
      </c>
      <c r="I307" s="189">
        <v>525.4</v>
      </c>
      <c r="J307" s="189">
        <v>408.7</v>
      </c>
      <c r="K307" s="189">
        <v>282</v>
      </c>
      <c r="L307" s="187">
        <v>32</v>
      </c>
      <c r="M307" s="185" t="s">
        <v>271</v>
      </c>
      <c r="N307" s="185" t="s">
        <v>272</v>
      </c>
      <c r="O307" s="188" t="s">
        <v>274</v>
      </c>
      <c r="P307" s="189">
        <v>2213600.19</v>
      </c>
      <c r="Q307" s="189">
        <v>0</v>
      </c>
      <c r="R307" s="189">
        <v>0</v>
      </c>
      <c r="S307" s="189">
        <f t="shared" si="43"/>
        <v>2213600.19</v>
      </c>
      <c r="T307" s="189">
        <f t="shared" si="37"/>
        <v>4213.1712790255042</v>
      </c>
      <c r="U307" s="189">
        <f>Y307+AG307</f>
        <v>16364.662285559725</v>
      </c>
      <c r="V307" s="170">
        <f t="shared" si="41"/>
        <v>12151.491006534221</v>
      </c>
      <c r="W307" s="170"/>
      <c r="X307" s="170"/>
      <c r="Y307" s="173">
        <f t="shared" si="42"/>
        <v>5466.2923486867148</v>
      </c>
      <c r="AA307" s="173">
        <f t="shared" si="38"/>
        <v>550</v>
      </c>
      <c r="AC307" s="173" t="s">
        <v>561</v>
      </c>
      <c r="AD307" s="173">
        <v>560</v>
      </c>
      <c r="AG307" s="173">
        <f>AH307*6191.24/J307</f>
        <v>10898.36993687301</v>
      </c>
      <c r="AH307" s="173">
        <f t="shared" si="39"/>
        <v>719.43</v>
      </c>
      <c r="AS307" s="173" t="e">
        <f t="shared" si="40"/>
        <v>#N/A</v>
      </c>
    </row>
    <row r="308" spans="1:45" s="173" customFormat="1" ht="36" customHeight="1" x14ac:dyDescent="0.9">
      <c r="A308" s="173">
        <v>1</v>
      </c>
      <c r="B308" s="91">
        <f>SUBTOTAL(103,$A$16:A308)</f>
        <v>279</v>
      </c>
      <c r="C308" s="90" t="s">
        <v>1227</v>
      </c>
      <c r="D308" s="185">
        <v>1927</v>
      </c>
      <c r="E308" s="185"/>
      <c r="F308" s="191" t="s">
        <v>273</v>
      </c>
      <c r="G308" s="185">
        <v>2</v>
      </c>
      <c r="H308" s="185">
        <v>2</v>
      </c>
      <c r="I308" s="189">
        <v>462</v>
      </c>
      <c r="J308" s="189">
        <v>443.2</v>
      </c>
      <c r="K308" s="189">
        <v>442.1</v>
      </c>
      <c r="L308" s="187">
        <v>37</v>
      </c>
      <c r="M308" s="185" t="s">
        <v>271</v>
      </c>
      <c r="N308" s="185" t="s">
        <v>275</v>
      </c>
      <c r="O308" s="188" t="s">
        <v>1335</v>
      </c>
      <c r="P308" s="189">
        <v>1981043.05</v>
      </c>
      <c r="Q308" s="189">
        <v>0</v>
      </c>
      <c r="R308" s="189">
        <v>0</v>
      </c>
      <c r="S308" s="189">
        <f t="shared" si="43"/>
        <v>1981043.05</v>
      </c>
      <c r="T308" s="189">
        <f t="shared" si="37"/>
        <v>4287.9719696969696</v>
      </c>
      <c r="U308" s="189">
        <f>Y308</f>
        <v>4609.1992207792209</v>
      </c>
      <c r="V308" s="170">
        <f t="shared" si="41"/>
        <v>321.22725108225131</v>
      </c>
      <c r="W308" s="170"/>
      <c r="X308" s="170"/>
      <c r="Y308" s="173">
        <f t="shared" si="42"/>
        <v>4609.1992207792209</v>
      </c>
      <c r="AA308" s="173">
        <f t="shared" si="38"/>
        <v>407.8</v>
      </c>
      <c r="AC308" s="173" t="s">
        <v>825</v>
      </c>
      <c r="AD308" s="173">
        <v>1391</v>
      </c>
      <c r="AH308" s="173" t="e">
        <f t="shared" si="39"/>
        <v>#N/A</v>
      </c>
      <c r="AS308" s="173" t="e">
        <f t="shared" si="40"/>
        <v>#N/A</v>
      </c>
    </row>
    <row r="309" spans="1:45" s="173" customFormat="1" ht="36" customHeight="1" x14ac:dyDescent="0.9">
      <c r="A309" s="173">
        <v>1</v>
      </c>
      <c r="B309" s="91">
        <f>SUBTOTAL(103,$A$16:A309)</f>
        <v>280</v>
      </c>
      <c r="C309" s="90" t="s">
        <v>1228</v>
      </c>
      <c r="D309" s="185">
        <v>1965</v>
      </c>
      <c r="E309" s="185"/>
      <c r="F309" s="191" t="s">
        <v>273</v>
      </c>
      <c r="G309" s="185">
        <v>2</v>
      </c>
      <c r="H309" s="185">
        <v>2</v>
      </c>
      <c r="I309" s="189">
        <v>1070</v>
      </c>
      <c r="J309" s="189">
        <v>916.2</v>
      </c>
      <c r="K309" s="189">
        <v>310.5</v>
      </c>
      <c r="L309" s="187">
        <v>13</v>
      </c>
      <c r="M309" s="185" t="s">
        <v>271</v>
      </c>
      <c r="N309" s="185" t="s">
        <v>272</v>
      </c>
      <c r="O309" s="188" t="s">
        <v>274</v>
      </c>
      <c r="P309" s="189">
        <v>4741640.8400000008</v>
      </c>
      <c r="Q309" s="189">
        <v>0</v>
      </c>
      <c r="R309" s="189">
        <v>0</v>
      </c>
      <c r="S309" s="189">
        <f t="shared" si="43"/>
        <v>4741640.8400000008</v>
      </c>
      <c r="T309" s="189">
        <f t="shared" si="37"/>
        <v>4431.4400373831786</v>
      </c>
      <c r="U309" s="189">
        <f>Y309</f>
        <v>4653.2582242990657</v>
      </c>
      <c r="V309" s="170">
        <f t="shared" si="41"/>
        <v>221.81818691588705</v>
      </c>
      <c r="W309" s="170"/>
      <c r="X309" s="170"/>
      <c r="Y309" s="173">
        <f t="shared" si="42"/>
        <v>4653.2582242990657</v>
      </c>
      <c r="AA309" s="173">
        <f t="shared" si="38"/>
        <v>953.5</v>
      </c>
      <c r="AC309" s="173" t="s">
        <v>562</v>
      </c>
      <c r="AD309" s="173">
        <v>822</v>
      </c>
      <c r="AH309" s="173" t="e">
        <f t="shared" si="39"/>
        <v>#N/A</v>
      </c>
      <c r="AS309" s="173" t="e">
        <f t="shared" si="40"/>
        <v>#N/A</v>
      </c>
    </row>
    <row r="310" spans="1:45" s="173" customFormat="1" ht="36" customHeight="1" x14ac:dyDescent="0.9">
      <c r="A310" s="173">
        <v>1</v>
      </c>
      <c r="B310" s="91">
        <f>SUBTOTAL(103,$A$16:A310)</f>
        <v>281</v>
      </c>
      <c r="C310" s="90" t="s">
        <v>1233</v>
      </c>
      <c r="D310" s="185" t="s">
        <v>337</v>
      </c>
      <c r="E310" s="185">
        <v>2016</v>
      </c>
      <c r="F310" s="191" t="s">
        <v>273</v>
      </c>
      <c r="G310" s="185">
        <v>9</v>
      </c>
      <c r="H310" s="185">
        <v>4</v>
      </c>
      <c r="I310" s="189">
        <v>8964.1</v>
      </c>
      <c r="J310" s="189">
        <v>7909.1</v>
      </c>
      <c r="K310" s="189">
        <v>7405.7</v>
      </c>
      <c r="L310" s="187">
        <v>329</v>
      </c>
      <c r="M310" s="185" t="s">
        <v>271</v>
      </c>
      <c r="N310" s="185" t="s">
        <v>275</v>
      </c>
      <c r="O310" s="188" t="s">
        <v>1362</v>
      </c>
      <c r="P310" s="189">
        <v>5425723.8799999999</v>
      </c>
      <c r="Q310" s="189">
        <v>0</v>
      </c>
      <c r="R310" s="189">
        <v>0</v>
      </c>
      <c r="S310" s="189">
        <f t="shared" si="43"/>
        <v>5425723.8799999999</v>
      </c>
      <c r="T310" s="189">
        <f t="shared" si="37"/>
        <v>605.27257393380262</v>
      </c>
      <c r="U310" s="189">
        <f>AR310</f>
        <v>985.00150600729569</v>
      </c>
      <c r="V310" s="170">
        <f t="shared" si="41"/>
        <v>379.72893207349307</v>
      </c>
      <c r="W310" s="170"/>
      <c r="X310" s="170"/>
      <c r="Y310" s="173" t="e">
        <f t="shared" si="42"/>
        <v>#N/A</v>
      </c>
      <c r="AA310" s="173" t="e">
        <f t="shared" si="38"/>
        <v>#N/A</v>
      </c>
      <c r="AC310" s="173" t="s">
        <v>563</v>
      </c>
      <c r="AD310" s="173">
        <v>897.3</v>
      </c>
      <c r="AH310" s="173" t="e">
        <f t="shared" si="39"/>
        <v>#N/A</v>
      </c>
      <c r="AR310" s="173">
        <f>AS310*2207413/I310</f>
        <v>985.00150600729569</v>
      </c>
      <c r="AS310" s="173">
        <f t="shared" si="40"/>
        <v>4</v>
      </c>
    </row>
    <row r="311" spans="1:45" s="173" customFormat="1" ht="36" customHeight="1" x14ac:dyDescent="0.9">
      <c r="A311" s="173">
        <v>1</v>
      </c>
      <c r="B311" s="91">
        <f>SUBTOTAL(103,$A$16:A311)</f>
        <v>282</v>
      </c>
      <c r="C311" s="90" t="s">
        <v>1234</v>
      </c>
      <c r="D311" s="185" t="s">
        <v>386</v>
      </c>
      <c r="E311" s="185"/>
      <c r="F311" s="191" t="s">
        <v>273</v>
      </c>
      <c r="G311" s="185">
        <v>2</v>
      </c>
      <c r="H311" s="185">
        <v>2</v>
      </c>
      <c r="I311" s="189">
        <v>263</v>
      </c>
      <c r="J311" s="189">
        <v>259.2</v>
      </c>
      <c r="K311" s="189">
        <v>255.1</v>
      </c>
      <c r="L311" s="187">
        <v>21</v>
      </c>
      <c r="M311" s="185" t="s">
        <v>271</v>
      </c>
      <c r="N311" s="185" t="s">
        <v>272</v>
      </c>
      <c r="O311" s="188" t="s">
        <v>274</v>
      </c>
      <c r="P311" s="189">
        <v>964103.66999999993</v>
      </c>
      <c r="Q311" s="189">
        <v>0</v>
      </c>
      <c r="R311" s="189">
        <v>0</v>
      </c>
      <c r="S311" s="189">
        <f t="shared" si="43"/>
        <v>964103.66999999993</v>
      </c>
      <c r="T311" s="189">
        <f t="shared" si="37"/>
        <v>3665.7934220532316</v>
      </c>
      <c r="U311" s="189">
        <f>AG311</f>
        <v>9916.016101851852</v>
      </c>
      <c r="V311" s="170">
        <f t="shared" si="41"/>
        <v>6250.2226797986204</v>
      </c>
      <c r="W311" s="170"/>
      <c r="X311" s="170"/>
      <c r="Y311" s="173" t="e">
        <f t="shared" si="42"/>
        <v>#N/A</v>
      </c>
      <c r="AA311" s="173" t="e">
        <f t="shared" si="38"/>
        <v>#N/A</v>
      </c>
      <c r="AC311" s="173" t="s">
        <v>1675</v>
      </c>
      <c r="AD311" s="173">
        <v>485</v>
      </c>
      <c r="AG311" s="173">
        <f>AH311*6191.24/J311</f>
        <v>9916.016101851852</v>
      </c>
      <c r="AH311" s="173">
        <f t="shared" si="39"/>
        <v>415.14</v>
      </c>
      <c r="AS311" s="173" t="e">
        <f t="shared" si="40"/>
        <v>#N/A</v>
      </c>
    </row>
    <row r="312" spans="1:45" s="173" customFormat="1" ht="36" customHeight="1" x14ac:dyDescent="0.9">
      <c r="A312" s="173">
        <v>1</v>
      </c>
      <c r="B312" s="91">
        <f>SUBTOTAL(103,$A$16:A312)</f>
        <v>283</v>
      </c>
      <c r="C312" s="90" t="s">
        <v>1235</v>
      </c>
      <c r="D312" s="185" t="s">
        <v>363</v>
      </c>
      <c r="E312" s="185"/>
      <c r="F312" s="191" t="s">
        <v>273</v>
      </c>
      <c r="G312" s="185">
        <v>2</v>
      </c>
      <c r="H312" s="185">
        <v>1</v>
      </c>
      <c r="I312" s="189">
        <v>301</v>
      </c>
      <c r="J312" s="189">
        <v>282.39999999999998</v>
      </c>
      <c r="K312" s="189">
        <v>282.39999999999998</v>
      </c>
      <c r="L312" s="187">
        <v>22</v>
      </c>
      <c r="M312" s="185" t="s">
        <v>271</v>
      </c>
      <c r="N312" s="185" t="s">
        <v>275</v>
      </c>
      <c r="O312" s="188" t="s">
        <v>742</v>
      </c>
      <c r="P312" s="189">
        <v>1832686.35</v>
      </c>
      <c r="Q312" s="189">
        <v>0</v>
      </c>
      <c r="R312" s="189">
        <v>0</v>
      </c>
      <c r="S312" s="189">
        <f t="shared" si="43"/>
        <v>1832686.35</v>
      </c>
      <c r="T312" s="189">
        <f t="shared" si="37"/>
        <v>6088.6589700996683</v>
      </c>
      <c r="U312" s="189">
        <f>AG312</f>
        <v>8564.9140609065162</v>
      </c>
      <c r="V312" s="170">
        <f t="shared" si="41"/>
        <v>2476.2550908068479</v>
      </c>
      <c r="W312" s="170"/>
      <c r="X312" s="170"/>
      <c r="Y312" s="173" t="e">
        <f t="shared" si="42"/>
        <v>#N/A</v>
      </c>
      <c r="AA312" s="173" t="e">
        <f t="shared" si="38"/>
        <v>#N/A</v>
      </c>
      <c r="AC312" s="173" t="s">
        <v>565</v>
      </c>
      <c r="AD312" s="173">
        <v>606</v>
      </c>
      <c r="AG312" s="173">
        <f>AH312*6191.24/J312</f>
        <v>8564.9140609065162</v>
      </c>
      <c r="AH312" s="173">
        <f t="shared" si="39"/>
        <v>390.67</v>
      </c>
      <c r="AS312" s="173" t="e">
        <f t="shared" si="40"/>
        <v>#N/A</v>
      </c>
    </row>
    <row r="313" spans="1:45" s="173" customFormat="1" ht="36" customHeight="1" x14ac:dyDescent="0.9">
      <c r="A313" s="173">
        <v>1</v>
      </c>
      <c r="B313" s="91">
        <f>SUBTOTAL(103,$A$16:A313)</f>
        <v>284</v>
      </c>
      <c r="C313" s="90" t="s">
        <v>1236</v>
      </c>
      <c r="D313" s="185">
        <v>1957</v>
      </c>
      <c r="E313" s="185"/>
      <c r="F313" s="191" t="s">
        <v>273</v>
      </c>
      <c r="G313" s="185">
        <v>2</v>
      </c>
      <c r="H313" s="185">
        <v>3</v>
      </c>
      <c r="I313" s="189">
        <v>988</v>
      </c>
      <c r="J313" s="189">
        <v>627.1</v>
      </c>
      <c r="K313" s="189">
        <v>582.1</v>
      </c>
      <c r="L313" s="187">
        <v>55</v>
      </c>
      <c r="M313" s="185" t="s">
        <v>271</v>
      </c>
      <c r="N313" s="185" t="s">
        <v>275</v>
      </c>
      <c r="O313" s="188" t="s">
        <v>1098</v>
      </c>
      <c r="P313" s="189">
        <v>3633149.1899999995</v>
      </c>
      <c r="Q313" s="189">
        <v>0</v>
      </c>
      <c r="R313" s="189">
        <v>0</v>
      </c>
      <c r="S313" s="189">
        <f t="shared" si="43"/>
        <v>3633149.1899999995</v>
      </c>
      <c r="T313" s="189">
        <f t="shared" si="37"/>
        <v>3677.2765080971653</v>
      </c>
      <c r="U313" s="189">
        <f>Y313</f>
        <v>3905.356736842105</v>
      </c>
      <c r="V313" s="170">
        <f t="shared" si="41"/>
        <v>228.08022874493963</v>
      </c>
      <c r="W313" s="170"/>
      <c r="X313" s="170"/>
      <c r="Y313" s="173">
        <f t="shared" si="42"/>
        <v>3905.356736842105</v>
      </c>
      <c r="AA313" s="173">
        <f t="shared" si="38"/>
        <v>738.92</v>
      </c>
      <c r="AC313" s="173" t="s">
        <v>567</v>
      </c>
      <c r="AD313" s="173">
        <v>1160</v>
      </c>
      <c r="AH313" s="173" t="e">
        <f t="shared" si="39"/>
        <v>#N/A</v>
      </c>
      <c r="AS313" s="173" t="e">
        <f t="shared" si="40"/>
        <v>#N/A</v>
      </c>
    </row>
    <row r="314" spans="1:45" s="173" customFormat="1" ht="36" customHeight="1" x14ac:dyDescent="0.9">
      <c r="A314" s="173">
        <v>1</v>
      </c>
      <c r="B314" s="91">
        <f>SUBTOTAL(103,$A$16:A314)</f>
        <v>285</v>
      </c>
      <c r="C314" s="90" t="s">
        <v>1584</v>
      </c>
      <c r="D314" s="185">
        <v>1926</v>
      </c>
      <c r="E314" s="185"/>
      <c r="F314" s="191" t="s">
        <v>273</v>
      </c>
      <c r="G314" s="185">
        <v>2</v>
      </c>
      <c r="H314" s="185">
        <v>2</v>
      </c>
      <c r="I314" s="189">
        <v>561</v>
      </c>
      <c r="J314" s="189">
        <v>469.4</v>
      </c>
      <c r="K314" s="189">
        <v>23.8</v>
      </c>
      <c r="L314" s="187">
        <v>11</v>
      </c>
      <c r="M314" s="185" t="s">
        <v>271</v>
      </c>
      <c r="N314" s="185" t="s">
        <v>272</v>
      </c>
      <c r="O314" s="188" t="s">
        <v>274</v>
      </c>
      <c r="P314" s="189">
        <v>1322373.3</v>
      </c>
      <c r="Q314" s="189">
        <v>0</v>
      </c>
      <c r="R314" s="189">
        <v>0</v>
      </c>
      <c r="S314" s="189">
        <f>P314-R314-Q314</f>
        <v>1322373.3</v>
      </c>
      <c r="T314" s="189">
        <f t="shared" si="37"/>
        <v>2357.171657754011</v>
      </c>
      <c r="U314" s="189">
        <f>Y314</f>
        <v>2563.429090909091</v>
      </c>
      <c r="V314" s="170">
        <f t="shared" si="41"/>
        <v>206.25743315507998</v>
      </c>
      <c r="W314" s="170"/>
      <c r="X314" s="170"/>
      <c r="Y314" s="173">
        <f t="shared" si="42"/>
        <v>2563.429090909091</v>
      </c>
      <c r="AA314" s="173">
        <f t="shared" si="38"/>
        <v>275.39999999999998</v>
      </c>
      <c r="AC314" s="173" t="s">
        <v>568</v>
      </c>
      <c r="AD314" s="173">
        <v>432.6</v>
      </c>
      <c r="AH314" s="173" t="e">
        <f t="shared" si="39"/>
        <v>#N/A</v>
      </c>
      <c r="AS314" s="173" t="e">
        <f t="shared" si="40"/>
        <v>#N/A</v>
      </c>
    </row>
    <row r="315" spans="1:45" s="173" customFormat="1" ht="36" customHeight="1" x14ac:dyDescent="0.9">
      <c r="A315" s="173">
        <v>1</v>
      </c>
      <c r="B315" s="91">
        <f>SUBTOTAL(103,$A$16:A315)</f>
        <v>286</v>
      </c>
      <c r="C315" s="90" t="s">
        <v>1594</v>
      </c>
      <c r="D315" s="185" t="s">
        <v>1623</v>
      </c>
      <c r="E315" s="185"/>
      <c r="F315" s="191" t="s">
        <v>273</v>
      </c>
      <c r="G315" s="185">
        <v>2</v>
      </c>
      <c r="H315" s="185">
        <v>2</v>
      </c>
      <c r="I315" s="189">
        <v>334</v>
      </c>
      <c r="J315" s="189">
        <v>169.5</v>
      </c>
      <c r="K315" s="189">
        <v>169.5</v>
      </c>
      <c r="L315" s="187">
        <v>18</v>
      </c>
      <c r="M315" s="185" t="s">
        <v>271</v>
      </c>
      <c r="N315" s="185" t="s">
        <v>272</v>
      </c>
      <c r="O315" s="188" t="s">
        <v>274</v>
      </c>
      <c r="P315" s="189">
        <v>1654659.73</v>
      </c>
      <c r="Q315" s="189">
        <v>0</v>
      </c>
      <c r="R315" s="189">
        <v>0</v>
      </c>
      <c r="S315" s="189">
        <f>P315-R315-Q315</f>
        <v>1654659.73</v>
      </c>
      <c r="T315" s="189">
        <f t="shared" si="37"/>
        <v>4954.0710479041918</v>
      </c>
      <c r="U315" s="189">
        <f>Y315</f>
        <v>5385.9583832335329</v>
      </c>
      <c r="V315" s="170">
        <f t="shared" si="41"/>
        <v>431.88733532934111</v>
      </c>
      <c r="W315" s="170"/>
      <c r="X315" s="170"/>
      <c r="Y315" s="173">
        <f t="shared" si="42"/>
        <v>5385.9583832335329</v>
      </c>
      <c r="AA315" s="173">
        <f t="shared" si="38"/>
        <v>344.5</v>
      </c>
      <c r="AC315" s="173" t="s">
        <v>569</v>
      </c>
      <c r="AD315" s="173">
        <v>185.8</v>
      </c>
      <c r="AH315" s="173" t="e">
        <f t="shared" si="39"/>
        <v>#N/A</v>
      </c>
      <c r="AS315" s="173" t="e">
        <f t="shared" si="40"/>
        <v>#N/A</v>
      </c>
    </row>
    <row r="316" spans="1:45" s="173" customFormat="1" ht="36" customHeight="1" x14ac:dyDescent="0.9">
      <c r="B316" s="90" t="s">
        <v>849</v>
      </c>
      <c r="C316" s="192"/>
      <c r="D316" s="185" t="s">
        <v>915</v>
      </c>
      <c r="E316" s="185" t="s">
        <v>915</v>
      </c>
      <c r="F316" s="185" t="s">
        <v>915</v>
      </c>
      <c r="G316" s="185" t="s">
        <v>915</v>
      </c>
      <c r="H316" s="185" t="s">
        <v>915</v>
      </c>
      <c r="I316" s="186">
        <f>SUM(I317:I332)</f>
        <v>12781.9</v>
      </c>
      <c r="J316" s="186">
        <f>SUM(J317:J332)</f>
        <v>9687</v>
      </c>
      <c r="K316" s="186">
        <f>SUM(K317:K332)</f>
        <v>8255.1790000000001</v>
      </c>
      <c r="L316" s="187">
        <f>SUM(L317:L332)</f>
        <v>775</v>
      </c>
      <c r="M316" s="185" t="s">
        <v>915</v>
      </c>
      <c r="N316" s="185" t="s">
        <v>915</v>
      </c>
      <c r="O316" s="188" t="s">
        <v>915</v>
      </c>
      <c r="P316" s="186">
        <v>34780549.410000004</v>
      </c>
      <c r="Q316" s="186">
        <f>SUM(Q317:Q332)</f>
        <v>0</v>
      </c>
      <c r="R316" s="186">
        <f>SUM(R317:R332)</f>
        <v>0</v>
      </c>
      <c r="S316" s="186">
        <f>SUM(S317:S332)</f>
        <v>34780549.410000004</v>
      </c>
      <c r="T316" s="189">
        <f t="shared" si="37"/>
        <v>2721.0781972946124</v>
      </c>
      <c r="U316" s="189">
        <f>MAX(U317:U332)</f>
        <v>12960.807892227978</v>
      </c>
      <c r="V316" s="170">
        <f t="shared" si="41"/>
        <v>10239.729694933365</v>
      </c>
      <c r="W316" s="170"/>
      <c r="X316" s="170"/>
      <c r="Y316" s="173" t="e">
        <f t="shared" si="42"/>
        <v>#N/A</v>
      </c>
      <c r="AA316" s="173" t="e">
        <f t="shared" si="38"/>
        <v>#N/A</v>
      </c>
      <c r="AC316" s="173" t="s">
        <v>570</v>
      </c>
      <c r="AD316" s="173">
        <v>642</v>
      </c>
      <c r="AH316" s="173" t="e">
        <f t="shared" si="39"/>
        <v>#N/A</v>
      </c>
      <c r="AS316" s="173" t="e">
        <f t="shared" si="40"/>
        <v>#N/A</v>
      </c>
    </row>
    <row r="317" spans="1:45" s="173" customFormat="1" ht="36" customHeight="1" x14ac:dyDescent="0.9">
      <c r="A317" s="173">
        <v>1</v>
      </c>
      <c r="B317" s="91">
        <f>SUBTOTAL(103,$A$16:A317)</f>
        <v>287</v>
      </c>
      <c r="C317" s="90" t="s">
        <v>236</v>
      </c>
      <c r="D317" s="185">
        <v>1970</v>
      </c>
      <c r="E317" s="185"/>
      <c r="F317" s="191" t="s">
        <v>273</v>
      </c>
      <c r="G317" s="185">
        <v>2</v>
      </c>
      <c r="H317" s="185">
        <v>1</v>
      </c>
      <c r="I317" s="189">
        <v>404.7</v>
      </c>
      <c r="J317" s="189">
        <v>318.7</v>
      </c>
      <c r="K317" s="189">
        <v>318.7</v>
      </c>
      <c r="L317" s="187">
        <v>25</v>
      </c>
      <c r="M317" s="185" t="s">
        <v>271</v>
      </c>
      <c r="N317" s="185" t="s">
        <v>275</v>
      </c>
      <c r="O317" s="188" t="s">
        <v>341</v>
      </c>
      <c r="P317" s="189">
        <v>1565544.36</v>
      </c>
      <c r="Q317" s="189">
        <v>0</v>
      </c>
      <c r="R317" s="189">
        <v>0</v>
      </c>
      <c r="S317" s="189">
        <f t="shared" ref="S317:S327" si="44">P317-Q317-R317</f>
        <v>1565544.36</v>
      </c>
      <c r="T317" s="189">
        <f t="shared" si="37"/>
        <v>3868.407116382506</v>
      </c>
      <c r="U317" s="189">
        <f>Y317</f>
        <v>4112.1513713862123</v>
      </c>
      <c r="V317" s="170">
        <f t="shared" si="41"/>
        <v>243.74425500370626</v>
      </c>
      <c r="W317" s="170"/>
      <c r="X317" s="170"/>
      <c r="Y317" s="173">
        <f t="shared" si="42"/>
        <v>4112.1513713862123</v>
      </c>
      <c r="AA317" s="173">
        <f t="shared" si="38"/>
        <v>318.7</v>
      </c>
      <c r="AC317" s="173" t="s">
        <v>824</v>
      </c>
      <c r="AD317" s="173">
        <v>300</v>
      </c>
      <c r="AH317" s="173" t="e">
        <f t="shared" si="39"/>
        <v>#N/A</v>
      </c>
      <c r="AS317" s="173" t="e">
        <f t="shared" si="40"/>
        <v>#N/A</v>
      </c>
    </row>
    <row r="318" spans="1:45" s="173" customFormat="1" ht="36" customHeight="1" x14ac:dyDescent="0.9">
      <c r="A318" s="173">
        <v>1</v>
      </c>
      <c r="B318" s="91">
        <f>SUBTOTAL(103,$A$16:A318)</f>
        <v>288</v>
      </c>
      <c r="C318" s="90" t="s">
        <v>238</v>
      </c>
      <c r="D318" s="185">
        <v>1964</v>
      </c>
      <c r="E318" s="185"/>
      <c r="F318" s="191" t="s">
        <v>273</v>
      </c>
      <c r="G318" s="185">
        <v>2</v>
      </c>
      <c r="H318" s="185">
        <v>2</v>
      </c>
      <c r="I318" s="189">
        <v>604.29999999999995</v>
      </c>
      <c r="J318" s="189">
        <v>596.20000000000005</v>
      </c>
      <c r="K318" s="189">
        <v>596.20000000000005</v>
      </c>
      <c r="L318" s="187">
        <v>25</v>
      </c>
      <c r="M318" s="185" t="s">
        <v>271</v>
      </c>
      <c r="N318" s="185" t="s">
        <v>275</v>
      </c>
      <c r="O318" s="188" t="s">
        <v>342</v>
      </c>
      <c r="P318" s="189">
        <v>2567368.66</v>
      </c>
      <c r="Q318" s="189">
        <v>0</v>
      </c>
      <c r="R318" s="189">
        <v>0</v>
      </c>
      <c r="S318" s="189">
        <f t="shared" si="44"/>
        <v>2567368.66</v>
      </c>
      <c r="T318" s="189">
        <f t="shared" si="37"/>
        <v>4248.5001820287944</v>
      </c>
      <c r="U318" s="189">
        <f>AG318</f>
        <v>4670.9489298892986</v>
      </c>
      <c r="V318" s="170">
        <f t="shared" si="41"/>
        <v>422.44874786050423</v>
      </c>
      <c r="W318" s="170"/>
      <c r="X318" s="170"/>
      <c r="Y318" s="173" t="e">
        <f t="shared" si="42"/>
        <v>#N/A</v>
      </c>
      <c r="AA318" s="173" t="e">
        <f t="shared" si="38"/>
        <v>#N/A</v>
      </c>
      <c r="AC318" s="173" t="s">
        <v>1660</v>
      </c>
      <c r="AD318" s="173">
        <v>2300</v>
      </c>
      <c r="AG318" s="173">
        <f>AH318*6191.24/J318</f>
        <v>4670.9489298892986</v>
      </c>
      <c r="AH318" s="173">
        <f t="shared" si="39"/>
        <v>449.8</v>
      </c>
      <c r="AS318" s="173" t="e">
        <f t="shared" si="40"/>
        <v>#N/A</v>
      </c>
    </row>
    <row r="319" spans="1:45" s="173" customFormat="1" ht="36" customHeight="1" x14ac:dyDescent="0.9">
      <c r="A319" s="173">
        <v>1</v>
      </c>
      <c r="B319" s="91">
        <f>SUBTOTAL(103,$A$16:A319)</f>
        <v>289</v>
      </c>
      <c r="C319" s="90" t="s">
        <v>241</v>
      </c>
      <c r="D319" s="185">
        <v>1961</v>
      </c>
      <c r="E319" s="185"/>
      <c r="F319" s="191" t="s">
        <v>344</v>
      </c>
      <c r="G319" s="185">
        <v>2</v>
      </c>
      <c r="H319" s="185">
        <v>2</v>
      </c>
      <c r="I319" s="189">
        <v>605.1</v>
      </c>
      <c r="J319" s="189">
        <v>560.20000000000005</v>
      </c>
      <c r="K319" s="189">
        <v>521</v>
      </c>
      <c r="L319" s="187">
        <v>28</v>
      </c>
      <c r="M319" s="185" t="s">
        <v>271</v>
      </c>
      <c r="N319" s="185" t="s">
        <v>275</v>
      </c>
      <c r="O319" s="188" t="s">
        <v>341</v>
      </c>
      <c r="P319" s="189">
        <v>2325723.11</v>
      </c>
      <c r="Q319" s="189">
        <v>0</v>
      </c>
      <c r="R319" s="189">
        <v>0</v>
      </c>
      <c r="S319" s="189">
        <f t="shared" si="44"/>
        <v>2325723.11</v>
      </c>
      <c r="T319" s="189">
        <f t="shared" si="37"/>
        <v>3843.5351346884809</v>
      </c>
      <c r="U319" s="189">
        <f>Y319</f>
        <v>4006.7455627169065</v>
      </c>
      <c r="V319" s="170">
        <f t="shared" si="41"/>
        <v>163.21042802842567</v>
      </c>
      <c r="W319" s="170"/>
      <c r="X319" s="170"/>
      <c r="Y319" s="173">
        <f t="shared" si="42"/>
        <v>4006.7455627169065</v>
      </c>
      <c r="AA319" s="173">
        <f t="shared" si="38"/>
        <v>464.3</v>
      </c>
      <c r="AC319" s="173" t="s">
        <v>571</v>
      </c>
      <c r="AD319" s="173">
        <v>1200</v>
      </c>
      <c r="AH319" s="173" t="e">
        <f t="shared" si="39"/>
        <v>#N/A</v>
      </c>
      <c r="AS319" s="173" t="e">
        <f t="shared" si="40"/>
        <v>#N/A</v>
      </c>
    </row>
    <row r="320" spans="1:45" s="173" customFormat="1" ht="36" customHeight="1" x14ac:dyDescent="0.9">
      <c r="A320" s="173">
        <v>1</v>
      </c>
      <c r="B320" s="91">
        <f>SUBTOTAL(103,$A$16:A320)</f>
        <v>290</v>
      </c>
      <c r="C320" s="90" t="s">
        <v>242</v>
      </c>
      <c r="D320" s="185">
        <v>1917</v>
      </c>
      <c r="E320" s="185"/>
      <c r="F320" s="191" t="s">
        <v>273</v>
      </c>
      <c r="G320" s="185">
        <v>2</v>
      </c>
      <c r="H320" s="185">
        <v>2</v>
      </c>
      <c r="I320" s="189">
        <v>336.7</v>
      </c>
      <c r="J320" s="189">
        <v>304.3</v>
      </c>
      <c r="K320" s="189">
        <v>304.3</v>
      </c>
      <c r="L320" s="187">
        <v>13</v>
      </c>
      <c r="M320" s="185" t="s">
        <v>271</v>
      </c>
      <c r="N320" s="185" t="s">
        <v>275</v>
      </c>
      <c r="O320" s="188" t="s">
        <v>341</v>
      </c>
      <c r="P320" s="189">
        <v>1317002.8400000001</v>
      </c>
      <c r="Q320" s="189">
        <v>0</v>
      </c>
      <c r="R320" s="189">
        <v>0</v>
      </c>
      <c r="S320" s="189">
        <f t="shared" si="44"/>
        <v>1317002.8400000001</v>
      </c>
      <c r="T320" s="189">
        <f t="shared" si="37"/>
        <v>3911.5023463023467</v>
      </c>
      <c r="U320" s="189">
        <f>Y320</f>
        <v>4202.8743688743689</v>
      </c>
      <c r="V320" s="170">
        <f t="shared" si="41"/>
        <v>291.37202257202216</v>
      </c>
      <c r="W320" s="170"/>
      <c r="X320" s="170"/>
      <c r="Y320" s="173">
        <f t="shared" si="42"/>
        <v>4202.8743688743689</v>
      </c>
      <c r="AA320" s="173">
        <f t="shared" si="38"/>
        <v>271</v>
      </c>
      <c r="AC320" s="173" t="s">
        <v>572</v>
      </c>
      <c r="AD320" s="173">
        <v>483</v>
      </c>
      <c r="AH320" s="173" t="e">
        <f t="shared" si="39"/>
        <v>#N/A</v>
      </c>
      <c r="AS320" s="173" t="e">
        <f t="shared" si="40"/>
        <v>#N/A</v>
      </c>
    </row>
    <row r="321" spans="1:45" s="173" customFormat="1" ht="36" customHeight="1" x14ac:dyDescent="0.9">
      <c r="A321" s="173">
        <v>1</v>
      </c>
      <c r="B321" s="91">
        <f>SUBTOTAL(103,$A$16:A321)</f>
        <v>291</v>
      </c>
      <c r="C321" s="90" t="s">
        <v>237</v>
      </c>
      <c r="D321" s="193">
        <v>1970</v>
      </c>
      <c r="E321" s="185"/>
      <c r="F321" s="191" t="s">
        <v>273</v>
      </c>
      <c r="G321" s="185">
        <v>2</v>
      </c>
      <c r="H321" s="185">
        <v>1</v>
      </c>
      <c r="I321" s="189">
        <v>352</v>
      </c>
      <c r="J321" s="189">
        <v>321</v>
      </c>
      <c r="K321" s="189">
        <v>321</v>
      </c>
      <c r="L321" s="187">
        <v>20</v>
      </c>
      <c r="M321" s="185" t="s">
        <v>271</v>
      </c>
      <c r="N321" s="185" t="s">
        <v>275</v>
      </c>
      <c r="O321" s="188" t="s">
        <v>343</v>
      </c>
      <c r="P321" s="189">
        <v>1004301.26</v>
      </c>
      <c r="Q321" s="189">
        <v>0</v>
      </c>
      <c r="R321" s="189">
        <v>0</v>
      </c>
      <c r="S321" s="189">
        <f t="shared" si="44"/>
        <v>1004301.26</v>
      </c>
      <c r="T321" s="189">
        <f t="shared" si="37"/>
        <v>2853.1285795454546</v>
      </c>
      <c r="U321" s="189">
        <f>Y321</f>
        <v>3103.113988636364</v>
      </c>
      <c r="V321" s="170">
        <f t="shared" si="41"/>
        <v>249.98540909090934</v>
      </c>
      <c r="W321" s="170"/>
      <c r="X321" s="170"/>
      <c r="Y321" s="173">
        <f t="shared" si="42"/>
        <v>3103.113988636364</v>
      </c>
      <c r="AA321" s="173">
        <f t="shared" si="38"/>
        <v>209.18</v>
      </c>
      <c r="AC321" s="173" t="s">
        <v>573</v>
      </c>
      <c r="AD321" s="173">
        <v>506.2</v>
      </c>
      <c r="AH321" s="173" t="e">
        <f t="shared" si="39"/>
        <v>#N/A</v>
      </c>
      <c r="AS321" s="173" t="e">
        <f t="shared" si="40"/>
        <v>#N/A</v>
      </c>
    </row>
    <row r="322" spans="1:45" s="173" customFormat="1" ht="36" customHeight="1" x14ac:dyDescent="0.9">
      <c r="A322" s="173">
        <v>1</v>
      </c>
      <c r="B322" s="91">
        <f>SUBTOTAL(103,$A$16:A322)</f>
        <v>292</v>
      </c>
      <c r="C322" s="90" t="s">
        <v>244</v>
      </c>
      <c r="D322" s="185">
        <v>1972</v>
      </c>
      <c r="E322" s="185"/>
      <c r="F322" s="191" t="s">
        <v>273</v>
      </c>
      <c r="G322" s="185">
        <v>2</v>
      </c>
      <c r="H322" s="185">
        <v>3</v>
      </c>
      <c r="I322" s="189">
        <v>899</v>
      </c>
      <c r="J322" s="189">
        <v>845</v>
      </c>
      <c r="K322" s="189">
        <v>845</v>
      </c>
      <c r="L322" s="187">
        <v>42</v>
      </c>
      <c r="M322" s="185" t="s">
        <v>271</v>
      </c>
      <c r="N322" s="185" t="s">
        <v>275</v>
      </c>
      <c r="O322" s="188" t="s">
        <v>341</v>
      </c>
      <c r="P322" s="189">
        <v>2694274.4</v>
      </c>
      <c r="Q322" s="189">
        <v>0</v>
      </c>
      <c r="R322" s="189">
        <v>0</v>
      </c>
      <c r="S322" s="189">
        <f t="shared" si="44"/>
        <v>2694274.4</v>
      </c>
      <c r="T322" s="189">
        <f t="shared" si="37"/>
        <v>2996.9681868743046</v>
      </c>
      <c r="U322" s="189">
        <f>Y322</f>
        <v>3133.08</v>
      </c>
      <c r="V322" s="170">
        <f t="shared" si="41"/>
        <v>136.11181312569533</v>
      </c>
      <c r="W322" s="170"/>
      <c r="X322" s="170"/>
      <c r="Y322" s="173">
        <f t="shared" si="42"/>
        <v>3133.08</v>
      </c>
      <c r="AA322" s="173">
        <f t="shared" si="38"/>
        <v>539.4</v>
      </c>
      <c r="AC322" s="173" t="s">
        <v>574</v>
      </c>
      <c r="AD322" s="173">
        <v>960</v>
      </c>
      <c r="AH322" s="173" t="e">
        <f t="shared" si="39"/>
        <v>#N/A</v>
      </c>
      <c r="AS322" s="173" t="e">
        <f t="shared" si="40"/>
        <v>#N/A</v>
      </c>
    </row>
    <row r="323" spans="1:45" s="173" customFormat="1" ht="36" customHeight="1" x14ac:dyDescent="0.9">
      <c r="A323" s="173">
        <v>1</v>
      </c>
      <c r="B323" s="91">
        <f>SUBTOTAL(103,$A$16:A323)</f>
        <v>293</v>
      </c>
      <c r="C323" s="90" t="s">
        <v>1239</v>
      </c>
      <c r="D323" s="185">
        <v>1959</v>
      </c>
      <c r="E323" s="185"/>
      <c r="F323" s="191" t="s">
        <v>344</v>
      </c>
      <c r="G323" s="185">
        <v>2</v>
      </c>
      <c r="H323" s="185">
        <v>2</v>
      </c>
      <c r="I323" s="189">
        <v>654.4</v>
      </c>
      <c r="J323" s="189">
        <v>551.4</v>
      </c>
      <c r="K323" s="189">
        <v>551.4</v>
      </c>
      <c r="L323" s="187">
        <v>22</v>
      </c>
      <c r="M323" s="185" t="s">
        <v>271</v>
      </c>
      <c r="N323" s="185" t="s">
        <v>275</v>
      </c>
      <c r="O323" s="188" t="s">
        <v>342</v>
      </c>
      <c r="P323" s="189">
        <v>2857556.7199999997</v>
      </c>
      <c r="Q323" s="189">
        <v>0</v>
      </c>
      <c r="R323" s="189">
        <v>0</v>
      </c>
      <c r="S323" s="189">
        <f t="shared" si="44"/>
        <v>2857556.7199999997</v>
      </c>
      <c r="T323" s="189">
        <f t="shared" si="37"/>
        <v>4366.6820293398532</v>
      </c>
      <c r="U323" s="189">
        <f>AG323</f>
        <v>7607.1184258251724</v>
      </c>
      <c r="V323" s="170">
        <f t="shared" si="41"/>
        <v>3240.4363964853192</v>
      </c>
      <c r="W323" s="170"/>
      <c r="X323" s="170"/>
      <c r="Y323" s="173" t="e">
        <f t="shared" si="42"/>
        <v>#N/A</v>
      </c>
      <c r="AA323" s="173" t="e">
        <f t="shared" si="38"/>
        <v>#N/A</v>
      </c>
      <c r="AC323" s="173" t="s">
        <v>575</v>
      </c>
      <c r="AD323" s="173">
        <v>651</v>
      </c>
      <c r="AG323" s="173">
        <f>AH323*6191.24/J323</f>
        <v>7607.1184258251724</v>
      </c>
      <c r="AH323" s="173">
        <f t="shared" si="39"/>
        <v>677.5</v>
      </c>
      <c r="AS323" s="173" t="e">
        <f t="shared" si="40"/>
        <v>#N/A</v>
      </c>
    </row>
    <row r="324" spans="1:45" s="173" customFormat="1" ht="36" customHeight="1" x14ac:dyDescent="0.9">
      <c r="A324" s="173">
        <v>1</v>
      </c>
      <c r="B324" s="91">
        <f>SUBTOTAL(103,$A$16:A324)</f>
        <v>294</v>
      </c>
      <c r="C324" s="90" t="s">
        <v>1240</v>
      </c>
      <c r="D324" s="185">
        <v>1977</v>
      </c>
      <c r="E324" s="185"/>
      <c r="F324" s="191" t="s">
        <v>273</v>
      </c>
      <c r="G324" s="185">
        <v>5</v>
      </c>
      <c r="H324" s="185">
        <v>1</v>
      </c>
      <c r="I324" s="189">
        <v>3819</v>
      </c>
      <c r="J324" s="189">
        <v>1968.3</v>
      </c>
      <c r="K324" s="189">
        <v>764.2</v>
      </c>
      <c r="L324" s="187">
        <v>379</v>
      </c>
      <c r="M324" s="185" t="s">
        <v>271</v>
      </c>
      <c r="N324" s="185" t="s">
        <v>275</v>
      </c>
      <c r="O324" s="188" t="s">
        <v>1339</v>
      </c>
      <c r="P324" s="189">
        <v>3331286.34</v>
      </c>
      <c r="Q324" s="189">
        <v>0</v>
      </c>
      <c r="R324" s="189">
        <v>0</v>
      </c>
      <c r="S324" s="189">
        <f t="shared" si="44"/>
        <v>3331286.34</v>
      </c>
      <c r="T324" s="189">
        <f t="shared" si="37"/>
        <v>872.29283582089545</v>
      </c>
      <c r="U324" s="189">
        <v>944.3599999999999</v>
      </c>
      <c r="V324" s="170">
        <f t="shared" si="41"/>
        <v>72.067164179104452</v>
      </c>
      <c r="W324" s="170"/>
      <c r="X324" s="170"/>
      <c r="Y324" s="173" t="e">
        <f t="shared" si="42"/>
        <v>#N/A</v>
      </c>
      <c r="AA324" s="173" t="e">
        <f t="shared" si="38"/>
        <v>#N/A</v>
      </c>
      <c r="AC324" s="173" t="s">
        <v>576</v>
      </c>
      <c r="AD324" s="173">
        <v>287</v>
      </c>
      <c r="AH324" s="173" t="e">
        <f t="shared" si="39"/>
        <v>#N/A</v>
      </c>
      <c r="AS324" s="173" t="e">
        <f t="shared" si="40"/>
        <v>#N/A</v>
      </c>
    </row>
    <row r="325" spans="1:45" s="173" customFormat="1" ht="36" customHeight="1" x14ac:dyDescent="0.9">
      <c r="A325" s="173">
        <v>1</v>
      </c>
      <c r="B325" s="91">
        <f>SUBTOTAL(103,$A$16:A325)</f>
        <v>295</v>
      </c>
      <c r="C325" s="90" t="s">
        <v>1241</v>
      </c>
      <c r="D325" s="185">
        <v>1951</v>
      </c>
      <c r="E325" s="185"/>
      <c r="F325" s="191" t="s">
        <v>344</v>
      </c>
      <c r="G325" s="185">
        <v>2</v>
      </c>
      <c r="H325" s="185">
        <v>2</v>
      </c>
      <c r="I325" s="189">
        <v>859.4</v>
      </c>
      <c r="J325" s="189">
        <v>766.5</v>
      </c>
      <c r="K325" s="189">
        <v>697.3</v>
      </c>
      <c r="L325" s="187">
        <v>43</v>
      </c>
      <c r="M325" s="185" t="s">
        <v>271</v>
      </c>
      <c r="N325" s="185" t="s">
        <v>275</v>
      </c>
      <c r="O325" s="188" t="s">
        <v>341</v>
      </c>
      <c r="P325" s="189">
        <v>3210077.19</v>
      </c>
      <c r="Q325" s="189">
        <v>0</v>
      </c>
      <c r="R325" s="189">
        <v>0</v>
      </c>
      <c r="S325" s="189">
        <f t="shared" si="44"/>
        <v>3210077.19</v>
      </c>
      <c r="T325" s="189">
        <f t="shared" si="37"/>
        <v>3735.2538864323947</v>
      </c>
      <c r="U325" s="189">
        <f>AG325</f>
        <v>6190.5130442270056</v>
      </c>
      <c r="V325" s="170">
        <f t="shared" si="41"/>
        <v>2455.2591577946109</v>
      </c>
      <c r="W325" s="170"/>
      <c r="X325" s="170"/>
      <c r="Y325" s="173" t="e">
        <f t="shared" si="42"/>
        <v>#N/A</v>
      </c>
      <c r="AA325" s="173" t="e">
        <f t="shared" si="38"/>
        <v>#N/A</v>
      </c>
      <c r="AC325" s="173" t="s">
        <v>577</v>
      </c>
      <c r="AD325" s="173">
        <v>722</v>
      </c>
      <c r="AG325" s="173">
        <f>AH325*6191.24/J325</f>
        <v>6190.5130442270056</v>
      </c>
      <c r="AH325" s="173">
        <f t="shared" si="39"/>
        <v>766.41</v>
      </c>
      <c r="AS325" s="173" t="e">
        <f t="shared" si="40"/>
        <v>#N/A</v>
      </c>
    </row>
    <row r="326" spans="1:45" s="173" customFormat="1" ht="36" customHeight="1" x14ac:dyDescent="0.9">
      <c r="A326" s="173">
        <v>1</v>
      </c>
      <c r="B326" s="91">
        <f>SUBTOTAL(103,$A$16:A326)</f>
        <v>296</v>
      </c>
      <c r="C326" s="90" t="s">
        <v>1243</v>
      </c>
      <c r="D326" s="185">
        <v>1958</v>
      </c>
      <c r="E326" s="185"/>
      <c r="F326" s="191" t="s">
        <v>273</v>
      </c>
      <c r="G326" s="185">
        <v>2</v>
      </c>
      <c r="H326" s="185">
        <v>2</v>
      </c>
      <c r="I326" s="189">
        <v>482.5</v>
      </c>
      <c r="J326" s="189">
        <v>431.7</v>
      </c>
      <c r="K326" s="189">
        <v>367.4</v>
      </c>
      <c r="L326" s="187">
        <v>27</v>
      </c>
      <c r="M326" s="185" t="s">
        <v>271</v>
      </c>
      <c r="N326" s="185" t="s">
        <v>275</v>
      </c>
      <c r="O326" s="188" t="s">
        <v>341</v>
      </c>
      <c r="P326" s="189">
        <v>1811384.8699999999</v>
      </c>
      <c r="Q326" s="189">
        <v>0</v>
      </c>
      <c r="R326" s="189">
        <v>0</v>
      </c>
      <c r="S326" s="189">
        <f t="shared" si="44"/>
        <v>1811384.8699999999</v>
      </c>
      <c r="T326" s="189">
        <f t="shared" si="37"/>
        <v>3754.1655336787562</v>
      </c>
      <c r="U326" s="189">
        <v>12960.807892227978</v>
      </c>
      <c r="V326" s="170">
        <f t="shared" si="41"/>
        <v>9206.642358549223</v>
      </c>
      <c r="W326" s="170"/>
      <c r="X326" s="170"/>
      <c r="Y326" s="173" t="e">
        <f t="shared" si="42"/>
        <v>#N/A</v>
      </c>
      <c r="AA326" s="173" t="e">
        <f t="shared" si="38"/>
        <v>#N/A</v>
      </c>
      <c r="AC326" s="173" t="s">
        <v>579</v>
      </c>
      <c r="AD326" s="173">
        <v>1130</v>
      </c>
      <c r="AH326" s="173" t="e">
        <f t="shared" si="39"/>
        <v>#N/A</v>
      </c>
      <c r="AS326" s="173" t="e">
        <f t="shared" si="40"/>
        <v>#N/A</v>
      </c>
    </row>
    <row r="327" spans="1:45" s="173" customFormat="1" ht="36" customHeight="1" x14ac:dyDescent="0.9">
      <c r="A327" s="173">
        <v>1</v>
      </c>
      <c r="B327" s="91">
        <f>SUBTOTAL(103,$A$16:A327)</f>
        <v>297</v>
      </c>
      <c r="C327" s="90" t="s">
        <v>1244</v>
      </c>
      <c r="D327" s="185">
        <v>1917</v>
      </c>
      <c r="E327" s="185"/>
      <c r="F327" s="191" t="s">
        <v>273</v>
      </c>
      <c r="G327" s="185">
        <v>2</v>
      </c>
      <c r="H327" s="185">
        <v>2</v>
      </c>
      <c r="I327" s="189">
        <v>333.7</v>
      </c>
      <c r="J327" s="189">
        <v>264.8</v>
      </c>
      <c r="K327" s="189">
        <v>264.79899999999998</v>
      </c>
      <c r="L327" s="187">
        <v>10</v>
      </c>
      <c r="M327" s="185" t="s">
        <v>271</v>
      </c>
      <c r="N327" s="185" t="s">
        <v>275</v>
      </c>
      <c r="O327" s="188" t="s">
        <v>341</v>
      </c>
      <c r="P327" s="189">
        <v>1787601.6700000002</v>
      </c>
      <c r="Q327" s="189">
        <v>0</v>
      </c>
      <c r="R327" s="189">
        <v>0</v>
      </c>
      <c r="S327" s="189">
        <f t="shared" si="44"/>
        <v>1787601.6700000002</v>
      </c>
      <c r="T327" s="189">
        <f t="shared" si="37"/>
        <v>5356.9124063530126</v>
      </c>
      <c r="U327" s="189">
        <f>Y327</f>
        <v>5857.1163919688352</v>
      </c>
      <c r="V327" s="170">
        <f t="shared" si="41"/>
        <v>500.2039856158226</v>
      </c>
      <c r="W327" s="170"/>
      <c r="X327" s="170"/>
      <c r="Y327" s="173">
        <f t="shared" si="42"/>
        <v>5857.1163919688352</v>
      </c>
      <c r="AA327" s="173">
        <f t="shared" si="38"/>
        <v>374.3</v>
      </c>
      <c r="AC327" s="173" t="s">
        <v>1404</v>
      </c>
      <c r="AD327" s="173">
        <v>756</v>
      </c>
      <c r="AH327" s="173" t="e">
        <f t="shared" si="39"/>
        <v>#N/A</v>
      </c>
      <c r="AS327" s="173" t="e">
        <f t="shared" si="40"/>
        <v>#N/A</v>
      </c>
    </row>
    <row r="328" spans="1:45" s="173" customFormat="1" ht="36" customHeight="1" x14ac:dyDescent="0.9">
      <c r="A328" s="173">
        <v>1</v>
      </c>
      <c r="B328" s="91">
        <f>SUBTOTAL(103,$A$16:A328)</f>
        <v>298</v>
      </c>
      <c r="C328" s="90" t="s">
        <v>1577</v>
      </c>
      <c r="D328" s="185">
        <v>1967</v>
      </c>
      <c r="E328" s="185"/>
      <c r="F328" s="191" t="s">
        <v>273</v>
      </c>
      <c r="G328" s="185">
        <v>2</v>
      </c>
      <c r="H328" s="185">
        <v>1</v>
      </c>
      <c r="I328" s="189">
        <v>391.7</v>
      </c>
      <c r="J328" s="189">
        <v>362.7</v>
      </c>
      <c r="K328" s="189">
        <v>362.7</v>
      </c>
      <c r="L328" s="187">
        <v>15</v>
      </c>
      <c r="M328" s="185" t="s">
        <v>271</v>
      </c>
      <c r="N328" s="185" t="s">
        <v>275</v>
      </c>
      <c r="O328" s="188" t="s">
        <v>342</v>
      </c>
      <c r="P328" s="189">
        <v>1422703.04</v>
      </c>
      <c r="Q328" s="189">
        <v>0</v>
      </c>
      <c r="R328" s="189">
        <v>0</v>
      </c>
      <c r="S328" s="189">
        <f>P328-R328-Q328</f>
        <v>1422703.04</v>
      </c>
      <c r="T328" s="189">
        <f t="shared" si="37"/>
        <v>3632.1241766658159</v>
      </c>
      <c r="U328" s="189">
        <f>Y328</f>
        <v>4387.2718406944095</v>
      </c>
      <c r="V328" s="170">
        <f t="shared" si="41"/>
        <v>755.14766402859368</v>
      </c>
      <c r="W328" s="170"/>
      <c r="X328" s="170"/>
      <c r="Y328" s="173">
        <f t="shared" si="42"/>
        <v>4387.2718406944095</v>
      </c>
      <c r="AA328" s="173">
        <f t="shared" si="38"/>
        <v>329.1</v>
      </c>
      <c r="AC328" s="173" t="s">
        <v>1405</v>
      </c>
      <c r="AD328" s="173">
        <v>670</v>
      </c>
      <c r="AH328" s="173" t="e">
        <f t="shared" si="39"/>
        <v>#N/A</v>
      </c>
      <c r="AS328" s="173" t="e">
        <f t="shared" si="40"/>
        <v>#N/A</v>
      </c>
    </row>
    <row r="329" spans="1:45" s="173" customFormat="1" ht="36" customHeight="1" x14ac:dyDescent="0.9">
      <c r="A329" s="173">
        <v>1</v>
      </c>
      <c r="B329" s="91">
        <f>SUBTOTAL(103,$A$16:A329)</f>
        <v>299</v>
      </c>
      <c r="C329" s="90" t="s">
        <v>1578</v>
      </c>
      <c r="D329" s="185">
        <v>1969</v>
      </c>
      <c r="E329" s="185"/>
      <c r="F329" s="191" t="s">
        <v>273</v>
      </c>
      <c r="G329" s="185">
        <v>2</v>
      </c>
      <c r="H329" s="185">
        <v>2</v>
      </c>
      <c r="I329" s="189">
        <v>705.3</v>
      </c>
      <c r="J329" s="189">
        <v>681.2</v>
      </c>
      <c r="K329" s="189">
        <v>626.79999999999995</v>
      </c>
      <c r="L329" s="187">
        <v>32</v>
      </c>
      <c r="M329" s="185" t="s">
        <v>271</v>
      </c>
      <c r="N329" s="185" t="s">
        <v>275</v>
      </c>
      <c r="O329" s="188" t="s">
        <v>341</v>
      </c>
      <c r="P329" s="189">
        <v>2288459.5900000003</v>
      </c>
      <c r="Q329" s="189">
        <v>0</v>
      </c>
      <c r="R329" s="189">
        <v>0</v>
      </c>
      <c r="S329" s="189">
        <f>P329-R329-Q329</f>
        <v>2288459.5900000003</v>
      </c>
      <c r="T329" s="189">
        <f t="shared" si="37"/>
        <v>3244.6612647100533</v>
      </c>
      <c r="U329" s="189">
        <f>Y329</f>
        <v>4523.6350489153556</v>
      </c>
      <c r="V329" s="170">
        <f t="shared" si="41"/>
        <v>1278.9737842053023</v>
      </c>
      <c r="W329" s="170"/>
      <c r="X329" s="170"/>
      <c r="Y329" s="173">
        <f t="shared" si="42"/>
        <v>4523.6350489153556</v>
      </c>
      <c r="AA329" s="173">
        <f t="shared" si="38"/>
        <v>611</v>
      </c>
      <c r="AC329" s="173" t="s">
        <v>1406</v>
      </c>
      <c r="AD329" s="173">
        <v>272.05</v>
      </c>
      <c r="AH329" s="173" t="e">
        <f t="shared" si="39"/>
        <v>#N/A</v>
      </c>
      <c r="AS329" s="173" t="e">
        <f t="shared" si="40"/>
        <v>#N/A</v>
      </c>
    </row>
    <row r="330" spans="1:45" s="173" customFormat="1" ht="36" customHeight="1" x14ac:dyDescent="0.9">
      <c r="A330" s="173">
        <v>1</v>
      </c>
      <c r="B330" s="91">
        <f>SUBTOTAL(103,$A$16:A330)</f>
        <v>300</v>
      </c>
      <c r="C330" s="90" t="s">
        <v>1592</v>
      </c>
      <c r="D330" s="185">
        <v>1949</v>
      </c>
      <c r="E330" s="185"/>
      <c r="F330" s="191" t="s">
        <v>1340</v>
      </c>
      <c r="G330" s="185">
        <v>2</v>
      </c>
      <c r="H330" s="185">
        <v>2</v>
      </c>
      <c r="I330" s="189">
        <v>920.8</v>
      </c>
      <c r="J330" s="189">
        <v>760.8</v>
      </c>
      <c r="K330" s="189">
        <v>760.18</v>
      </c>
      <c r="L330" s="187">
        <v>42</v>
      </c>
      <c r="M330" s="185" t="s">
        <v>271</v>
      </c>
      <c r="N330" s="185" t="s">
        <v>275</v>
      </c>
      <c r="O330" s="188" t="s">
        <v>342</v>
      </c>
      <c r="P330" s="189">
        <v>2836351.9</v>
      </c>
      <c r="Q330" s="189">
        <v>0</v>
      </c>
      <c r="R330" s="189">
        <v>0</v>
      </c>
      <c r="S330" s="189">
        <f>P330-R330-Q330</f>
        <v>2836351.9</v>
      </c>
      <c r="T330" s="189">
        <f t="shared" si="37"/>
        <v>3080.3126629018248</v>
      </c>
      <c r="U330" s="189">
        <f>Y330</f>
        <v>3436.5886185925287</v>
      </c>
      <c r="V330" s="170">
        <f t="shared" si="41"/>
        <v>356.275955690704</v>
      </c>
      <c r="W330" s="170"/>
      <c r="X330" s="170"/>
      <c r="Y330" s="173">
        <f t="shared" si="42"/>
        <v>3436.5886185925287</v>
      </c>
      <c r="AA330" s="173">
        <f t="shared" si="38"/>
        <v>606</v>
      </c>
      <c r="AC330" s="173" t="s">
        <v>1407</v>
      </c>
      <c r="AD330" s="173">
        <v>886</v>
      </c>
      <c r="AH330" s="173" t="e">
        <f t="shared" si="39"/>
        <v>#N/A</v>
      </c>
      <c r="AS330" s="173" t="e">
        <f t="shared" si="40"/>
        <v>#N/A</v>
      </c>
    </row>
    <row r="331" spans="1:45" s="173" customFormat="1" ht="36" customHeight="1" x14ac:dyDescent="0.9">
      <c r="A331" s="173">
        <v>1</v>
      </c>
      <c r="B331" s="91">
        <f>SUBTOTAL(103,$A$16:A331)</f>
        <v>301</v>
      </c>
      <c r="C331" s="90" t="s">
        <v>1593</v>
      </c>
      <c r="D331" s="185">
        <v>1961</v>
      </c>
      <c r="E331" s="185"/>
      <c r="F331" s="191" t="s">
        <v>273</v>
      </c>
      <c r="G331" s="185">
        <v>2</v>
      </c>
      <c r="H331" s="185">
        <v>2</v>
      </c>
      <c r="I331" s="189">
        <v>755.3</v>
      </c>
      <c r="J331" s="189">
        <v>704.1</v>
      </c>
      <c r="K331" s="189">
        <v>704.1</v>
      </c>
      <c r="L331" s="187">
        <v>31</v>
      </c>
      <c r="M331" s="185" t="s">
        <v>271</v>
      </c>
      <c r="N331" s="185" t="s">
        <v>275</v>
      </c>
      <c r="O331" s="188" t="s">
        <v>341</v>
      </c>
      <c r="P331" s="189">
        <v>2304536.62</v>
      </c>
      <c r="Q331" s="189">
        <v>0</v>
      </c>
      <c r="R331" s="189">
        <v>0</v>
      </c>
      <c r="S331" s="189">
        <f>P331-R331-Q331</f>
        <v>2304536.62</v>
      </c>
      <c r="T331" s="189">
        <f t="shared" si="37"/>
        <v>3051.1540050311137</v>
      </c>
      <c r="U331" s="189">
        <f>Y331</f>
        <v>4093.302166026745</v>
      </c>
      <c r="V331" s="170">
        <f t="shared" si="41"/>
        <v>1042.1481609956313</v>
      </c>
      <c r="W331" s="170"/>
      <c r="X331" s="170"/>
      <c r="Y331" s="173">
        <f t="shared" si="42"/>
        <v>4093.302166026745</v>
      </c>
      <c r="AA331" s="173">
        <f t="shared" si="38"/>
        <v>592.07000000000005</v>
      </c>
      <c r="AC331" s="173" t="s">
        <v>1408</v>
      </c>
      <c r="AD331" s="173">
        <v>630</v>
      </c>
      <c r="AH331" s="173" t="e">
        <f t="shared" si="39"/>
        <v>#N/A</v>
      </c>
      <c r="AS331" s="173" t="e">
        <f t="shared" si="40"/>
        <v>#N/A</v>
      </c>
    </row>
    <row r="332" spans="1:45" s="173" customFormat="1" ht="36" customHeight="1" x14ac:dyDescent="0.9">
      <c r="A332" s="173">
        <v>1</v>
      </c>
      <c r="B332" s="91">
        <f>SUBTOTAL(103,$A$16:A332)</f>
        <v>302</v>
      </c>
      <c r="C332" s="90" t="s">
        <v>1629</v>
      </c>
      <c r="D332" s="185">
        <v>1958</v>
      </c>
      <c r="E332" s="185"/>
      <c r="F332" s="191" t="s">
        <v>338</v>
      </c>
      <c r="G332" s="185">
        <v>2</v>
      </c>
      <c r="H332" s="185">
        <v>1</v>
      </c>
      <c r="I332" s="189">
        <v>658</v>
      </c>
      <c r="J332" s="189">
        <v>250.1</v>
      </c>
      <c r="K332" s="189">
        <v>250.1</v>
      </c>
      <c r="L332" s="187">
        <v>21</v>
      </c>
      <c r="M332" s="185" t="s">
        <v>271</v>
      </c>
      <c r="N332" s="185" t="s">
        <v>275</v>
      </c>
      <c r="O332" s="188" t="s">
        <v>341</v>
      </c>
      <c r="P332" s="189">
        <v>1456376.84</v>
      </c>
      <c r="Q332" s="189">
        <v>0</v>
      </c>
      <c r="R332" s="189">
        <v>0</v>
      </c>
      <c r="S332" s="189">
        <f>P332-R332-Q332</f>
        <v>1456376.84</v>
      </c>
      <c r="T332" s="189">
        <f t="shared" si="37"/>
        <v>2213.3386626139818</v>
      </c>
      <c r="U332" s="189">
        <f>AG332</f>
        <v>9354.9364094362245</v>
      </c>
      <c r="V332" s="170">
        <f t="shared" si="41"/>
        <v>7141.5977468222427</v>
      </c>
      <c r="W332" s="170"/>
      <c r="X332" s="170"/>
      <c r="Y332" s="173" t="e">
        <f t="shared" si="42"/>
        <v>#N/A</v>
      </c>
      <c r="AA332" s="173" t="e">
        <f t="shared" si="38"/>
        <v>#N/A</v>
      </c>
      <c r="AC332" s="173" t="s">
        <v>496</v>
      </c>
      <c r="AD332" s="173">
        <v>1089.5999999999999</v>
      </c>
      <c r="AG332" s="173">
        <f>AH332*6191.24/J332</f>
        <v>9354.9364094362245</v>
      </c>
      <c r="AH332" s="173">
        <f t="shared" si="39"/>
        <v>377.9</v>
      </c>
      <c r="AS332" s="173" t="e">
        <f t="shared" si="40"/>
        <v>#N/A</v>
      </c>
    </row>
    <row r="333" spans="1:45" s="173" customFormat="1" ht="36" customHeight="1" x14ac:dyDescent="0.9">
      <c r="B333" s="90" t="s">
        <v>850</v>
      </c>
      <c r="C333" s="90"/>
      <c r="D333" s="185" t="s">
        <v>915</v>
      </c>
      <c r="E333" s="185" t="s">
        <v>915</v>
      </c>
      <c r="F333" s="185" t="s">
        <v>915</v>
      </c>
      <c r="G333" s="185" t="s">
        <v>915</v>
      </c>
      <c r="H333" s="185" t="s">
        <v>915</v>
      </c>
      <c r="I333" s="186">
        <f>SUM(I334:I339)</f>
        <v>2214.1</v>
      </c>
      <c r="J333" s="186">
        <f>SUM(J334:J339)</f>
        <v>1957.3</v>
      </c>
      <c r="K333" s="186">
        <f>SUM(K334:K339)</f>
        <v>1343.8999999999999</v>
      </c>
      <c r="L333" s="187">
        <f>SUM(L334:L339)</f>
        <v>77</v>
      </c>
      <c r="M333" s="185" t="s">
        <v>915</v>
      </c>
      <c r="N333" s="185" t="s">
        <v>915</v>
      </c>
      <c r="O333" s="188" t="s">
        <v>915</v>
      </c>
      <c r="P333" s="186">
        <v>4191660.33</v>
      </c>
      <c r="Q333" s="186">
        <f>SUM(Q334:Q339)</f>
        <v>0</v>
      </c>
      <c r="R333" s="186">
        <f>SUM(R334:R339)</f>
        <v>0</v>
      </c>
      <c r="S333" s="186">
        <f>SUM(S334:S339)</f>
        <v>4191660.33</v>
      </c>
      <c r="T333" s="189">
        <f t="shared" si="37"/>
        <v>1893.1666726886772</v>
      </c>
      <c r="U333" s="189">
        <f>MAX(U334:U339)</f>
        <v>9214.674517766498</v>
      </c>
      <c r="V333" s="170">
        <f t="shared" si="41"/>
        <v>7321.507845077821</v>
      </c>
      <c r="W333" s="170"/>
      <c r="X333" s="170"/>
      <c r="Y333" s="173" t="e">
        <f t="shared" si="42"/>
        <v>#N/A</v>
      </c>
      <c r="AA333" s="173" t="e">
        <f t="shared" si="38"/>
        <v>#N/A</v>
      </c>
      <c r="AC333" s="173" t="s">
        <v>1427</v>
      </c>
      <c r="AD333" s="173">
        <v>831.1</v>
      </c>
      <c r="AH333" s="173" t="e">
        <f t="shared" si="39"/>
        <v>#N/A</v>
      </c>
      <c r="AS333" s="173" t="e">
        <f t="shared" si="40"/>
        <v>#N/A</v>
      </c>
    </row>
    <row r="334" spans="1:45" s="173" customFormat="1" ht="36" customHeight="1" x14ac:dyDescent="0.9">
      <c r="A334" s="173">
        <v>1</v>
      </c>
      <c r="B334" s="91">
        <f>SUBTOTAL(103,$A$16:A334)</f>
        <v>303</v>
      </c>
      <c r="C334" s="90" t="s">
        <v>251</v>
      </c>
      <c r="D334" s="185">
        <v>1955</v>
      </c>
      <c r="E334" s="185"/>
      <c r="F334" s="191" t="s">
        <v>338</v>
      </c>
      <c r="G334" s="185">
        <v>2</v>
      </c>
      <c r="H334" s="185">
        <v>1</v>
      </c>
      <c r="I334" s="189">
        <v>374.6</v>
      </c>
      <c r="J334" s="189">
        <v>343.4</v>
      </c>
      <c r="K334" s="189">
        <v>211.5</v>
      </c>
      <c r="L334" s="187">
        <v>7</v>
      </c>
      <c r="M334" s="185" t="s">
        <v>271</v>
      </c>
      <c r="N334" s="185" t="s">
        <v>272</v>
      </c>
      <c r="O334" s="188" t="s">
        <v>274</v>
      </c>
      <c r="P334" s="189">
        <v>40774.61</v>
      </c>
      <c r="Q334" s="189">
        <v>0</v>
      </c>
      <c r="R334" s="189">
        <v>0</v>
      </c>
      <c r="S334" s="189">
        <f>P334-Q334-R334</f>
        <v>40774.61</v>
      </c>
      <c r="T334" s="189">
        <f t="shared" ref="T334:T397" si="45">P334/I334</f>
        <v>108.84839829151095</v>
      </c>
      <c r="U334" s="189">
        <v>764.97453283502387</v>
      </c>
      <c r="V334" s="170">
        <f t="shared" si="41"/>
        <v>656.12613454351288</v>
      </c>
      <c r="W334" s="170"/>
      <c r="X334" s="170"/>
      <c r="Y334" s="173" t="e">
        <f t="shared" si="42"/>
        <v>#N/A</v>
      </c>
      <c r="AA334" s="173" t="e">
        <f t="shared" si="38"/>
        <v>#N/A</v>
      </c>
      <c r="AC334" s="173" t="s">
        <v>1145</v>
      </c>
      <c r="AD334" s="173">
        <v>453.4</v>
      </c>
      <c r="AH334" s="173" t="e">
        <f t="shared" si="39"/>
        <v>#N/A</v>
      </c>
      <c r="AS334" s="173" t="e">
        <f t="shared" si="40"/>
        <v>#N/A</v>
      </c>
    </row>
    <row r="335" spans="1:45" s="173" customFormat="1" ht="36" customHeight="1" x14ac:dyDescent="0.9">
      <c r="A335" s="173">
        <v>1</v>
      </c>
      <c r="B335" s="91">
        <f>SUBTOTAL(103,$A$16:A335)</f>
        <v>304</v>
      </c>
      <c r="C335" s="90" t="s">
        <v>252</v>
      </c>
      <c r="D335" s="185">
        <v>1954</v>
      </c>
      <c r="E335" s="185"/>
      <c r="F335" s="191" t="s">
        <v>273</v>
      </c>
      <c r="G335" s="185">
        <v>2</v>
      </c>
      <c r="H335" s="185">
        <v>1</v>
      </c>
      <c r="I335" s="189">
        <v>373.6</v>
      </c>
      <c r="J335" s="189">
        <v>342.5</v>
      </c>
      <c r="K335" s="189">
        <v>160.1</v>
      </c>
      <c r="L335" s="187">
        <v>12</v>
      </c>
      <c r="M335" s="185" t="s">
        <v>271</v>
      </c>
      <c r="N335" s="185" t="s">
        <v>272</v>
      </c>
      <c r="O335" s="188" t="s">
        <v>274</v>
      </c>
      <c r="P335" s="189">
        <v>167945.43</v>
      </c>
      <c r="Q335" s="189">
        <v>0</v>
      </c>
      <c r="R335" s="189">
        <v>0</v>
      </c>
      <c r="S335" s="189">
        <f>P335-Q335-R335</f>
        <v>167945.43</v>
      </c>
      <c r="T335" s="189">
        <f t="shared" si="45"/>
        <v>449.53273554603851</v>
      </c>
      <c r="U335" s="189">
        <v>766.04633297644546</v>
      </c>
      <c r="V335" s="170">
        <f t="shared" si="41"/>
        <v>316.51359743040695</v>
      </c>
      <c r="W335" s="170"/>
      <c r="X335" s="170"/>
      <c r="Y335" s="173" t="e">
        <f t="shared" si="42"/>
        <v>#N/A</v>
      </c>
      <c r="AA335" s="173" t="e">
        <f t="shared" si="38"/>
        <v>#N/A</v>
      </c>
      <c r="AC335" s="173" t="s">
        <v>1146</v>
      </c>
      <c r="AD335" s="173">
        <v>523.98</v>
      </c>
      <c r="AH335" s="173" t="e">
        <f t="shared" si="39"/>
        <v>#N/A</v>
      </c>
      <c r="AS335" s="173" t="e">
        <f t="shared" si="40"/>
        <v>#N/A</v>
      </c>
    </row>
    <row r="336" spans="1:45" s="173" customFormat="1" ht="36" customHeight="1" x14ac:dyDescent="0.9">
      <c r="A336" s="173">
        <v>1</v>
      </c>
      <c r="B336" s="91">
        <f>SUBTOTAL(103,$A$16:A336)</f>
        <v>305</v>
      </c>
      <c r="C336" s="90" t="s">
        <v>1247</v>
      </c>
      <c r="D336" s="185">
        <v>1968</v>
      </c>
      <c r="E336" s="185"/>
      <c r="F336" s="191" t="s">
        <v>273</v>
      </c>
      <c r="G336" s="185">
        <v>2</v>
      </c>
      <c r="H336" s="185">
        <v>1</v>
      </c>
      <c r="I336" s="189">
        <v>334.9</v>
      </c>
      <c r="J336" s="189">
        <v>302.2</v>
      </c>
      <c r="K336" s="189">
        <v>302.2</v>
      </c>
      <c r="L336" s="187">
        <v>16</v>
      </c>
      <c r="M336" s="185" t="s">
        <v>271</v>
      </c>
      <c r="N336" s="185" t="s">
        <v>272</v>
      </c>
      <c r="O336" s="188" t="s">
        <v>274</v>
      </c>
      <c r="P336" s="189">
        <v>383818.77</v>
      </c>
      <c r="Q336" s="189">
        <v>0</v>
      </c>
      <c r="R336" s="189">
        <v>0</v>
      </c>
      <c r="S336" s="189">
        <f>P336-Q336-R336</f>
        <v>383818.77</v>
      </c>
      <c r="T336" s="189">
        <f t="shared" si="45"/>
        <v>1146.069782024485</v>
      </c>
      <c r="U336" s="189">
        <v>9214.674517766498</v>
      </c>
      <c r="V336" s="170">
        <f t="shared" si="41"/>
        <v>8068.604735742013</v>
      </c>
      <c r="W336" s="170"/>
      <c r="X336" s="170"/>
      <c r="Y336" s="173" t="e">
        <f t="shared" si="42"/>
        <v>#N/A</v>
      </c>
      <c r="AA336" s="173" t="e">
        <f t="shared" ref="AA336:AA399" si="46">VLOOKUP(C336,AC:AE,2,FALSE)</f>
        <v>#N/A</v>
      </c>
      <c r="AC336" s="173" t="s">
        <v>1148</v>
      </c>
      <c r="AD336" s="173">
        <v>1093</v>
      </c>
      <c r="AH336" s="173" t="e">
        <f t="shared" ref="AH336:AH399" si="47">VLOOKUP(C336,AJ:AK,2,FALSE)</f>
        <v>#N/A</v>
      </c>
      <c r="AS336" s="173" t="e">
        <f t="shared" ref="AS336:AS399" si="48">VLOOKUP(C336,AU:AV,2,FALSE)</f>
        <v>#N/A</v>
      </c>
    </row>
    <row r="337" spans="1:45" s="173" customFormat="1" ht="36" customHeight="1" x14ac:dyDescent="0.9">
      <c r="A337" s="173">
        <v>1</v>
      </c>
      <c r="B337" s="91">
        <f>SUBTOTAL(103,$A$16:A337)</f>
        <v>306</v>
      </c>
      <c r="C337" s="90" t="s">
        <v>249</v>
      </c>
      <c r="D337" s="185">
        <v>1969</v>
      </c>
      <c r="E337" s="185"/>
      <c r="F337" s="191" t="s">
        <v>273</v>
      </c>
      <c r="G337" s="185">
        <v>2</v>
      </c>
      <c r="H337" s="185">
        <v>1</v>
      </c>
      <c r="I337" s="189">
        <v>384.6</v>
      </c>
      <c r="J337" s="189">
        <v>359.9</v>
      </c>
      <c r="K337" s="189">
        <v>359.9</v>
      </c>
      <c r="L337" s="187">
        <v>16</v>
      </c>
      <c r="M337" s="185" t="s">
        <v>271</v>
      </c>
      <c r="N337" s="185" t="s">
        <v>272</v>
      </c>
      <c r="O337" s="188" t="s">
        <v>274</v>
      </c>
      <c r="P337" s="189">
        <v>1440513.25</v>
      </c>
      <c r="Q337" s="189">
        <v>0</v>
      </c>
      <c r="R337" s="189">
        <v>0</v>
      </c>
      <c r="S337" s="189">
        <f>P337-Q337-R337</f>
        <v>1440513.25</v>
      </c>
      <c r="T337" s="189">
        <f t="shared" si="45"/>
        <v>3745.4842693707747</v>
      </c>
      <c r="U337" s="189">
        <f>AG337</f>
        <v>6349.504540150042</v>
      </c>
      <c r="V337" s="170">
        <f t="shared" si="41"/>
        <v>2604.0202707792673</v>
      </c>
      <c r="W337" s="170"/>
      <c r="X337" s="170"/>
      <c r="Y337" s="173" t="e">
        <f t="shared" si="42"/>
        <v>#N/A</v>
      </c>
      <c r="AA337" s="173" t="e">
        <f t="shared" si="46"/>
        <v>#N/A</v>
      </c>
      <c r="AC337" s="173" t="s">
        <v>1159</v>
      </c>
      <c r="AD337" s="173">
        <v>543.4</v>
      </c>
      <c r="AG337" s="173">
        <f>AH337*6191.24/J337</f>
        <v>6349.504540150042</v>
      </c>
      <c r="AH337" s="173">
        <f t="shared" si="47"/>
        <v>369.1</v>
      </c>
      <c r="AS337" s="173" t="e">
        <f t="shared" si="48"/>
        <v>#N/A</v>
      </c>
    </row>
    <row r="338" spans="1:45" s="173" customFormat="1" ht="36" customHeight="1" x14ac:dyDescent="0.9">
      <c r="A338" s="173">
        <v>1</v>
      </c>
      <c r="B338" s="91">
        <f>SUBTOTAL(103,$A$16:A338)</f>
        <v>307</v>
      </c>
      <c r="C338" s="90" t="s">
        <v>1579</v>
      </c>
      <c r="D338" s="185">
        <v>1960</v>
      </c>
      <c r="E338" s="185"/>
      <c r="F338" s="191" t="s">
        <v>273</v>
      </c>
      <c r="G338" s="185">
        <v>2</v>
      </c>
      <c r="H338" s="185">
        <v>1</v>
      </c>
      <c r="I338" s="189">
        <v>407.9</v>
      </c>
      <c r="J338" s="189">
        <v>299.10000000000002</v>
      </c>
      <c r="K338" s="189">
        <v>0</v>
      </c>
      <c r="L338" s="187">
        <v>9</v>
      </c>
      <c r="M338" s="185" t="s">
        <v>271</v>
      </c>
      <c r="N338" s="185" t="s">
        <v>272</v>
      </c>
      <c r="O338" s="188" t="s">
        <v>274</v>
      </c>
      <c r="P338" s="189">
        <v>944609.1</v>
      </c>
      <c r="Q338" s="189">
        <v>0</v>
      </c>
      <c r="R338" s="189">
        <v>0</v>
      </c>
      <c r="S338" s="189">
        <f>P338-R338-Q338</f>
        <v>944609.1</v>
      </c>
      <c r="T338" s="189">
        <f t="shared" si="45"/>
        <v>2315.785976955136</v>
      </c>
      <c r="U338" s="189">
        <f>Y338</f>
        <v>3187.6151017406228</v>
      </c>
      <c r="V338" s="170">
        <f t="shared" si="41"/>
        <v>871.82912478548678</v>
      </c>
      <c r="W338" s="170"/>
      <c r="X338" s="170"/>
      <c r="Y338" s="173">
        <f t="shared" si="42"/>
        <v>3187.6151017406228</v>
      </c>
      <c r="AA338" s="173">
        <f t="shared" si="46"/>
        <v>249</v>
      </c>
      <c r="AC338" s="173" t="s">
        <v>1160</v>
      </c>
      <c r="AD338" s="173">
        <v>665</v>
      </c>
      <c r="AH338" s="173" t="e">
        <f t="shared" si="47"/>
        <v>#N/A</v>
      </c>
      <c r="AS338" s="173" t="e">
        <f t="shared" si="48"/>
        <v>#N/A</v>
      </c>
    </row>
    <row r="339" spans="1:45" s="173" customFormat="1" ht="36" customHeight="1" x14ac:dyDescent="0.9">
      <c r="A339" s="173">
        <v>1</v>
      </c>
      <c r="B339" s="91">
        <f>SUBTOTAL(103,$A$16:A339)</f>
        <v>308</v>
      </c>
      <c r="C339" s="90" t="s">
        <v>1580</v>
      </c>
      <c r="D339" s="185">
        <v>1962</v>
      </c>
      <c r="E339" s="185"/>
      <c r="F339" s="191" t="s">
        <v>273</v>
      </c>
      <c r="G339" s="185">
        <v>2</v>
      </c>
      <c r="H339" s="185">
        <v>2</v>
      </c>
      <c r="I339" s="189">
        <v>338.5</v>
      </c>
      <c r="J339" s="189">
        <v>310.2</v>
      </c>
      <c r="K339" s="189">
        <v>310.2</v>
      </c>
      <c r="L339" s="187">
        <v>17</v>
      </c>
      <c r="M339" s="185" t="s">
        <v>271</v>
      </c>
      <c r="N339" s="185" t="s">
        <v>349</v>
      </c>
      <c r="O339" s="188" t="s">
        <v>1624</v>
      </c>
      <c r="P339" s="189">
        <v>1213999.1700000002</v>
      </c>
      <c r="Q339" s="189">
        <v>0</v>
      </c>
      <c r="R339" s="189">
        <v>0</v>
      </c>
      <c r="S339" s="189">
        <f>P339-R339-Q339</f>
        <v>1213999.1700000002</v>
      </c>
      <c r="T339" s="189">
        <f t="shared" si="45"/>
        <v>3586.4081831610047</v>
      </c>
      <c r="U339" s="189">
        <f>Y339</f>
        <v>4766.7243722304283</v>
      </c>
      <c r="V339" s="170">
        <f t="shared" ref="V339:V402" si="49">U339-T339</f>
        <v>1180.3161890694237</v>
      </c>
      <c r="W339" s="170"/>
      <c r="X339" s="170"/>
      <c r="Y339" s="173">
        <f t="shared" ref="Y339:Y402" si="50">AA339*5221.8/I339</f>
        <v>4766.7243722304283</v>
      </c>
      <c r="AA339" s="173">
        <f t="shared" si="46"/>
        <v>309</v>
      </c>
      <c r="AC339" s="173" t="s">
        <v>1661</v>
      </c>
      <c r="AD339" s="173">
        <v>900</v>
      </c>
      <c r="AH339" s="173" t="e">
        <f t="shared" si="47"/>
        <v>#N/A</v>
      </c>
      <c r="AS339" s="173" t="e">
        <f t="shared" si="48"/>
        <v>#N/A</v>
      </c>
    </row>
    <row r="340" spans="1:45" s="173" customFormat="1" ht="36" customHeight="1" x14ac:dyDescent="0.9">
      <c r="B340" s="90" t="s">
        <v>851</v>
      </c>
      <c r="C340" s="90"/>
      <c r="D340" s="185" t="s">
        <v>915</v>
      </c>
      <c r="E340" s="185" t="s">
        <v>915</v>
      </c>
      <c r="F340" s="185" t="s">
        <v>915</v>
      </c>
      <c r="G340" s="185" t="s">
        <v>915</v>
      </c>
      <c r="H340" s="185" t="s">
        <v>915</v>
      </c>
      <c r="I340" s="186">
        <f>SUM(I341:I343)</f>
        <v>2026.2</v>
      </c>
      <c r="J340" s="186">
        <f>SUM(J341:J343)</f>
        <v>1548.5</v>
      </c>
      <c r="K340" s="186">
        <f>SUM(K341:K343)</f>
        <v>1408.9</v>
      </c>
      <c r="L340" s="187">
        <f>SUM(L341:L343)</f>
        <v>65</v>
      </c>
      <c r="M340" s="185" t="s">
        <v>915</v>
      </c>
      <c r="N340" s="185" t="s">
        <v>915</v>
      </c>
      <c r="O340" s="188" t="s">
        <v>915</v>
      </c>
      <c r="P340" s="189">
        <v>5532352.54</v>
      </c>
      <c r="Q340" s="189">
        <f>SUM(Q341:Q343)</f>
        <v>0</v>
      </c>
      <c r="R340" s="189">
        <f>SUM(R341:R343)</f>
        <v>0</v>
      </c>
      <c r="S340" s="189">
        <f>SUM(S341:S343)</f>
        <v>5532352.54</v>
      </c>
      <c r="T340" s="189">
        <f t="shared" si="45"/>
        <v>2730.4079261672096</v>
      </c>
      <c r="U340" s="189">
        <f>MAX(U341:U343)</f>
        <v>7318.0723663793106</v>
      </c>
      <c r="V340" s="170">
        <f t="shared" si="49"/>
        <v>4587.664440212101</v>
      </c>
      <c r="W340" s="170"/>
      <c r="X340" s="170"/>
      <c r="Y340" s="173" t="e">
        <f t="shared" si="50"/>
        <v>#N/A</v>
      </c>
      <c r="AA340" s="173" t="e">
        <f t="shared" si="46"/>
        <v>#N/A</v>
      </c>
      <c r="AC340" s="173" t="s">
        <v>1662</v>
      </c>
      <c r="AD340" s="173">
        <v>830</v>
      </c>
      <c r="AH340" s="173" t="e">
        <f t="shared" si="47"/>
        <v>#N/A</v>
      </c>
      <c r="AS340" s="173" t="e">
        <f t="shared" si="48"/>
        <v>#N/A</v>
      </c>
    </row>
    <row r="341" spans="1:45" s="173" customFormat="1" ht="36" customHeight="1" x14ac:dyDescent="0.9">
      <c r="A341" s="173">
        <v>1</v>
      </c>
      <c r="B341" s="91">
        <f>SUBTOTAL(103,$A$16:A341)</f>
        <v>309</v>
      </c>
      <c r="C341" s="90" t="s">
        <v>246</v>
      </c>
      <c r="D341" s="185">
        <v>1969</v>
      </c>
      <c r="E341" s="185"/>
      <c r="F341" s="191" t="s">
        <v>319</v>
      </c>
      <c r="G341" s="185">
        <v>2</v>
      </c>
      <c r="H341" s="185">
        <v>2</v>
      </c>
      <c r="I341" s="189">
        <v>924.7</v>
      </c>
      <c r="J341" s="189">
        <v>556</v>
      </c>
      <c r="K341" s="189">
        <v>474.7</v>
      </c>
      <c r="L341" s="187">
        <v>25</v>
      </c>
      <c r="M341" s="185" t="s">
        <v>271</v>
      </c>
      <c r="N341" s="185" t="s">
        <v>272</v>
      </c>
      <c r="O341" s="188" t="s">
        <v>274</v>
      </c>
      <c r="P341" s="189">
        <v>1765119.99</v>
      </c>
      <c r="Q341" s="189">
        <v>0</v>
      </c>
      <c r="R341" s="189">
        <v>0</v>
      </c>
      <c r="S341" s="189">
        <f>P341-Q341-R341</f>
        <v>1765119.99</v>
      </c>
      <c r="T341" s="189">
        <f t="shared" si="45"/>
        <v>1908.8569157564614</v>
      </c>
      <c r="U341" s="189">
        <f>AG341</f>
        <v>5462.9898273381295</v>
      </c>
      <c r="V341" s="170">
        <f t="shared" si="49"/>
        <v>3554.1329115816679</v>
      </c>
      <c r="W341" s="170"/>
      <c r="X341" s="170"/>
      <c r="Y341" s="173" t="e">
        <f t="shared" si="50"/>
        <v>#N/A</v>
      </c>
      <c r="AA341" s="173" t="e">
        <f t="shared" si="46"/>
        <v>#N/A</v>
      </c>
      <c r="AC341" s="173" t="s">
        <v>466</v>
      </c>
      <c r="AD341" s="173">
        <v>620.9</v>
      </c>
      <c r="AG341" s="173">
        <f>AH341*6191.24/J341</f>
        <v>5462.9898273381295</v>
      </c>
      <c r="AH341" s="173">
        <f t="shared" si="47"/>
        <v>490.6</v>
      </c>
      <c r="AS341" s="173" t="e">
        <f t="shared" si="48"/>
        <v>#N/A</v>
      </c>
    </row>
    <row r="342" spans="1:45" s="173" customFormat="1" ht="36" customHeight="1" x14ac:dyDescent="0.9">
      <c r="A342" s="173">
        <v>1</v>
      </c>
      <c r="B342" s="91">
        <f>SUBTOTAL(103,$A$16:A342)</f>
        <v>310</v>
      </c>
      <c r="C342" s="90" t="s">
        <v>1245</v>
      </c>
      <c r="D342" s="185">
        <v>1984</v>
      </c>
      <c r="E342" s="185"/>
      <c r="F342" s="191" t="s">
        <v>326</v>
      </c>
      <c r="G342" s="185">
        <v>2</v>
      </c>
      <c r="H342" s="185">
        <v>2</v>
      </c>
      <c r="I342" s="189">
        <v>610.29999999999995</v>
      </c>
      <c r="J342" s="189">
        <v>556.79999999999995</v>
      </c>
      <c r="K342" s="189">
        <v>498.5</v>
      </c>
      <c r="L342" s="187">
        <v>22</v>
      </c>
      <c r="M342" s="185" t="s">
        <v>271</v>
      </c>
      <c r="N342" s="185" t="s">
        <v>272</v>
      </c>
      <c r="O342" s="188" t="s">
        <v>274</v>
      </c>
      <c r="P342" s="189">
        <v>2476874.58</v>
      </c>
      <c r="Q342" s="189">
        <v>0</v>
      </c>
      <c r="R342" s="189">
        <v>0</v>
      </c>
      <c r="S342" s="189">
        <f>P342-Q342-R342</f>
        <v>2476874.58</v>
      </c>
      <c r="T342" s="189">
        <f t="shared" si="45"/>
        <v>4058.4541700802888</v>
      </c>
      <c r="U342" s="189">
        <f>AG342</f>
        <v>7318.0723663793106</v>
      </c>
      <c r="V342" s="170">
        <f t="shared" si="49"/>
        <v>3259.6181962990217</v>
      </c>
      <c r="W342" s="170"/>
      <c r="X342" s="170"/>
      <c r="Y342" s="173" t="e">
        <f t="shared" si="50"/>
        <v>#N/A</v>
      </c>
      <c r="AA342" s="173" t="e">
        <f t="shared" si="46"/>
        <v>#N/A</v>
      </c>
      <c r="AC342" s="173" t="s">
        <v>468</v>
      </c>
      <c r="AD342" s="173">
        <v>886</v>
      </c>
      <c r="AG342" s="173">
        <f>AH342*6191.24/J342</f>
        <v>7318.0723663793106</v>
      </c>
      <c r="AH342" s="173">
        <f t="shared" si="47"/>
        <v>658.14</v>
      </c>
      <c r="AS342" s="173" t="e">
        <f t="shared" si="48"/>
        <v>#N/A</v>
      </c>
    </row>
    <row r="343" spans="1:45" s="173" customFormat="1" ht="36" customHeight="1" x14ac:dyDescent="0.9">
      <c r="A343" s="173">
        <v>1</v>
      </c>
      <c r="B343" s="91">
        <f>SUBTOTAL(103,$A$16:A343)</f>
        <v>311</v>
      </c>
      <c r="C343" s="90" t="s">
        <v>1246</v>
      </c>
      <c r="D343" s="185">
        <v>1967</v>
      </c>
      <c r="E343" s="185"/>
      <c r="F343" s="191" t="s">
        <v>273</v>
      </c>
      <c r="G343" s="185">
        <v>2</v>
      </c>
      <c r="H343" s="185">
        <v>2</v>
      </c>
      <c r="I343" s="189">
        <v>491.2</v>
      </c>
      <c r="J343" s="189">
        <v>435.7</v>
      </c>
      <c r="K343" s="189">
        <v>435.7</v>
      </c>
      <c r="L343" s="187">
        <v>18</v>
      </c>
      <c r="M343" s="185" t="s">
        <v>271</v>
      </c>
      <c r="N343" s="185" t="s">
        <v>272</v>
      </c>
      <c r="O343" s="188" t="s">
        <v>274</v>
      </c>
      <c r="P343" s="189">
        <v>1290357.97</v>
      </c>
      <c r="Q343" s="189">
        <v>0</v>
      </c>
      <c r="R343" s="189">
        <v>0</v>
      </c>
      <c r="S343" s="189">
        <f>P343-Q343-R343</f>
        <v>1290357.97</v>
      </c>
      <c r="T343" s="189">
        <f t="shared" si="45"/>
        <v>2626.9502646579804</v>
      </c>
      <c r="U343" s="189">
        <f>AG343</f>
        <v>7062.3049804911634</v>
      </c>
      <c r="V343" s="170">
        <f t="shared" si="49"/>
        <v>4435.354715833183</v>
      </c>
      <c r="W343" s="170"/>
      <c r="X343" s="170"/>
      <c r="Y343" s="173" t="e">
        <f t="shared" si="50"/>
        <v>#N/A</v>
      </c>
      <c r="AA343" s="173" t="e">
        <f t="shared" si="46"/>
        <v>#N/A</v>
      </c>
      <c r="AC343" s="173" t="s">
        <v>469</v>
      </c>
      <c r="AD343" s="173">
        <v>604</v>
      </c>
      <c r="AG343" s="173">
        <f>AH343*6191.24/J343</f>
        <v>7062.3049804911634</v>
      </c>
      <c r="AH343" s="173">
        <f t="shared" si="47"/>
        <v>497</v>
      </c>
      <c r="AS343" s="173" t="e">
        <f t="shared" si="48"/>
        <v>#N/A</v>
      </c>
    </row>
    <row r="344" spans="1:45" s="173" customFormat="1" ht="36" customHeight="1" x14ac:dyDescent="0.9">
      <c r="B344" s="90" t="s">
        <v>852</v>
      </c>
      <c r="C344" s="194"/>
      <c r="D344" s="185" t="s">
        <v>915</v>
      </c>
      <c r="E344" s="185" t="s">
        <v>915</v>
      </c>
      <c r="F344" s="185" t="s">
        <v>915</v>
      </c>
      <c r="G344" s="185" t="s">
        <v>915</v>
      </c>
      <c r="H344" s="185" t="s">
        <v>915</v>
      </c>
      <c r="I344" s="186">
        <f>SUM(I345:I346)</f>
        <v>1746.5</v>
      </c>
      <c r="J344" s="186">
        <f>SUM(J345:J346)</f>
        <v>1598.5</v>
      </c>
      <c r="K344" s="186">
        <f>SUM(K345:K346)</f>
        <v>1405.9</v>
      </c>
      <c r="L344" s="187">
        <f>SUM(L345:L346)</f>
        <v>90</v>
      </c>
      <c r="M344" s="185" t="s">
        <v>915</v>
      </c>
      <c r="N344" s="185" t="s">
        <v>915</v>
      </c>
      <c r="O344" s="188" t="s">
        <v>915</v>
      </c>
      <c r="P344" s="189">
        <v>7840990.7699999986</v>
      </c>
      <c r="Q344" s="189">
        <f>SUM(Q345:Q346)</f>
        <v>0</v>
      </c>
      <c r="R344" s="189">
        <f>SUM(R345:R346)</f>
        <v>0</v>
      </c>
      <c r="S344" s="189">
        <f>SUM(S345:S346)</f>
        <v>7840990.7699999986</v>
      </c>
      <c r="T344" s="189">
        <f t="shared" si="45"/>
        <v>4489.5452447752641</v>
      </c>
      <c r="U344" s="189">
        <f>T344</f>
        <v>4489.5452447752641</v>
      </c>
      <c r="V344" s="170">
        <f t="shared" si="49"/>
        <v>0</v>
      </c>
      <c r="W344" s="170"/>
      <c r="X344" s="170"/>
      <c r="Y344" s="173" t="e">
        <f t="shared" si="50"/>
        <v>#N/A</v>
      </c>
      <c r="AA344" s="173" t="e">
        <f t="shared" si="46"/>
        <v>#N/A</v>
      </c>
      <c r="AC344" s="173" t="s">
        <v>470</v>
      </c>
      <c r="AD344" s="173">
        <v>604</v>
      </c>
      <c r="AH344" s="173" t="e">
        <f t="shared" si="47"/>
        <v>#N/A</v>
      </c>
      <c r="AS344" s="173" t="e">
        <f t="shared" si="48"/>
        <v>#N/A</v>
      </c>
    </row>
    <row r="345" spans="1:45" s="173" customFormat="1" ht="36" customHeight="1" x14ac:dyDescent="0.9">
      <c r="A345" s="173">
        <v>1</v>
      </c>
      <c r="B345" s="91">
        <f>SUBTOTAL(103,$A$16:A345)</f>
        <v>312</v>
      </c>
      <c r="C345" s="195" t="s">
        <v>0</v>
      </c>
      <c r="D345" s="185">
        <v>1975</v>
      </c>
      <c r="E345" s="185"/>
      <c r="F345" s="191" t="s">
        <v>273</v>
      </c>
      <c r="G345" s="185">
        <v>2</v>
      </c>
      <c r="H345" s="185">
        <v>2</v>
      </c>
      <c r="I345" s="189">
        <v>795.9</v>
      </c>
      <c r="J345" s="189">
        <v>735.5</v>
      </c>
      <c r="K345" s="189">
        <v>680.2</v>
      </c>
      <c r="L345" s="187">
        <v>37</v>
      </c>
      <c r="M345" s="185" t="s">
        <v>271</v>
      </c>
      <c r="N345" s="185" t="s">
        <v>272</v>
      </c>
      <c r="O345" s="188" t="s">
        <v>274</v>
      </c>
      <c r="P345" s="189">
        <v>2876974.34</v>
      </c>
      <c r="Q345" s="189">
        <v>0</v>
      </c>
      <c r="R345" s="189">
        <v>0</v>
      </c>
      <c r="S345" s="189">
        <f>P345-Q345-R345</f>
        <v>2876974.34</v>
      </c>
      <c r="T345" s="189">
        <f t="shared" si="45"/>
        <v>3614.7434853624827</v>
      </c>
      <c r="U345" s="189">
        <f>T345</f>
        <v>3614.7434853624827</v>
      </c>
      <c r="V345" s="170">
        <f t="shared" si="49"/>
        <v>0</v>
      </c>
      <c r="W345" s="170"/>
      <c r="X345" s="170"/>
      <c r="Y345" s="173">
        <f t="shared" si="50"/>
        <v>4055.2765171503961</v>
      </c>
      <c r="AA345" s="173">
        <f t="shared" si="46"/>
        <v>618.1</v>
      </c>
      <c r="AC345" s="173" t="s">
        <v>471</v>
      </c>
      <c r="AD345" s="173">
        <v>723.24</v>
      </c>
      <c r="AH345" s="173" t="e">
        <f t="shared" si="47"/>
        <v>#N/A</v>
      </c>
      <c r="AS345" s="173" t="e">
        <f t="shared" si="48"/>
        <v>#N/A</v>
      </c>
    </row>
    <row r="346" spans="1:45" s="173" customFormat="1" ht="36" customHeight="1" x14ac:dyDescent="0.9">
      <c r="A346" s="173">
        <v>1</v>
      </c>
      <c r="B346" s="91">
        <f>SUBTOTAL(103,$A$16:A346)</f>
        <v>313</v>
      </c>
      <c r="C346" s="90" t="s">
        <v>5</v>
      </c>
      <c r="D346" s="185">
        <v>1979</v>
      </c>
      <c r="E346" s="185"/>
      <c r="F346" s="191" t="s">
        <v>273</v>
      </c>
      <c r="G346" s="185">
        <v>2</v>
      </c>
      <c r="H346" s="185">
        <v>3</v>
      </c>
      <c r="I346" s="189">
        <v>950.6</v>
      </c>
      <c r="J346" s="189">
        <v>863</v>
      </c>
      <c r="K346" s="189">
        <v>725.7</v>
      </c>
      <c r="L346" s="187">
        <v>53</v>
      </c>
      <c r="M346" s="185" t="s">
        <v>271</v>
      </c>
      <c r="N346" s="185" t="s">
        <v>272</v>
      </c>
      <c r="O346" s="188" t="s">
        <v>274</v>
      </c>
      <c r="P346" s="189">
        <v>4964016.4299999988</v>
      </c>
      <c r="Q346" s="189">
        <v>0</v>
      </c>
      <c r="R346" s="189">
        <v>0</v>
      </c>
      <c r="S346" s="189">
        <f>P346-Q346-R346</f>
        <v>4964016.4299999988</v>
      </c>
      <c r="T346" s="189">
        <f t="shared" si="45"/>
        <v>5221.9823585104132</v>
      </c>
      <c r="U346" s="189">
        <f>T346</f>
        <v>5221.9823585104132</v>
      </c>
      <c r="V346" s="170">
        <f t="shared" si="49"/>
        <v>0</v>
      </c>
      <c r="W346" s="170"/>
      <c r="X346" s="170"/>
      <c r="Y346" s="173">
        <f t="shared" si="50"/>
        <v>3966.8321607405851</v>
      </c>
      <c r="AA346" s="173">
        <f t="shared" si="46"/>
        <v>722.14</v>
      </c>
      <c r="AC346" s="173" t="s">
        <v>476</v>
      </c>
      <c r="AD346" s="173">
        <v>3073.45</v>
      </c>
      <c r="AH346" s="173" t="e">
        <f t="shared" si="47"/>
        <v>#N/A</v>
      </c>
      <c r="AS346" s="173" t="e">
        <f t="shared" si="48"/>
        <v>#N/A</v>
      </c>
    </row>
    <row r="347" spans="1:45" s="173" customFormat="1" ht="36" customHeight="1" x14ac:dyDescent="0.9">
      <c r="B347" s="90" t="s">
        <v>853</v>
      </c>
      <c r="C347" s="192"/>
      <c r="D347" s="185" t="s">
        <v>915</v>
      </c>
      <c r="E347" s="185" t="s">
        <v>915</v>
      </c>
      <c r="F347" s="185" t="s">
        <v>915</v>
      </c>
      <c r="G347" s="185" t="s">
        <v>915</v>
      </c>
      <c r="H347" s="185" t="s">
        <v>915</v>
      </c>
      <c r="I347" s="186">
        <f>SUM(I348:I350)</f>
        <v>5687.8</v>
      </c>
      <c r="J347" s="186">
        <f>SUM(J348:J350)</f>
        <v>4407.8999999999996</v>
      </c>
      <c r="K347" s="186">
        <f>SUM(K348:K350)</f>
        <v>2836.1</v>
      </c>
      <c r="L347" s="187">
        <f>SUM(L348:L350)</f>
        <v>224</v>
      </c>
      <c r="M347" s="185" t="s">
        <v>915</v>
      </c>
      <c r="N347" s="185" t="s">
        <v>915</v>
      </c>
      <c r="O347" s="188" t="s">
        <v>915</v>
      </c>
      <c r="P347" s="186">
        <v>8506805.8699999992</v>
      </c>
      <c r="Q347" s="186">
        <f>SUM(Q348:Q350)</f>
        <v>0</v>
      </c>
      <c r="R347" s="186">
        <f>SUM(R348:R350)</f>
        <v>0</v>
      </c>
      <c r="S347" s="186">
        <f>SUM(S348:S350)</f>
        <v>8506805.8699999992</v>
      </c>
      <c r="T347" s="189">
        <f t="shared" si="45"/>
        <v>1495.6232409719046</v>
      </c>
      <c r="U347" s="189">
        <f>MAX(U348:U350)</f>
        <v>4969.3744911504427</v>
      </c>
      <c r="V347" s="170">
        <f t="shared" si="49"/>
        <v>3473.7512501785382</v>
      </c>
      <c r="W347" s="170"/>
      <c r="X347" s="170"/>
      <c r="Y347" s="173" t="e">
        <f t="shared" si="50"/>
        <v>#N/A</v>
      </c>
      <c r="AA347" s="173" t="e">
        <f t="shared" si="46"/>
        <v>#N/A</v>
      </c>
      <c r="AC347" s="173" t="s">
        <v>455</v>
      </c>
      <c r="AD347" s="173">
        <v>528.5</v>
      </c>
      <c r="AH347" s="173" t="e">
        <f t="shared" si="47"/>
        <v>#N/A</v>
      </c>
      <c r="AS347" s="173" t="e">
        <f t="shared" si="48"/>
        <v>#N/A</v>
      </c>
    </row>
    <row r="348" spans="1:45" s="173" customFormat="1" ht="36" customHeight="1" x14ac:dyDescent="0.9">
      <c r="A348" s="173">
        <v>1</v>
      </c>
      <c r="B348" s="91">
        <f>SUBTOTAL(103,$A$16:A348)</f>
        <v>314</v>
      </c>
      <c r="C348" s="90" t="s">
        <v>716</v>
      </c>
      <c r="D348" s="185">
        <v>1928</v>
      </c>
      <c r="E348" s="185"/>
      <c r="F348" s="191" t="s">
        <v>338</v>
      </c>
      <c r="G348" s="185" t="s">
        <v>311</v>
      </c>
      <c r="H348" s="185" t="s">
        <v>312</v>
      </c>
      <c r="I348" s="189">
        <v>253.1</v>
      </c>
      <c r="J348" s="189">
        <v>231.8</v>
      </c>
      <c r="K348" s="189">
        <v>185.3</v>
      </c>
      <c r="L348" s="187">
        <v>14</v>
      </c>
      <c r="M348" s="185" t="s">
        <v>271</v>
      </c>
      <c r="N348" s="185" t="s">
        <v>275</v>
      </c>
      <c r="O348" s="188" t="s">
        <v>750</v>
      </c>
      <c r="P348" s="189">
        <v>51949.1</v>
      </c>
      <c r="Q348" s="189">
        <v>0</v>
      </c>
      <c r="R348" s="189">
        <v>0</v>
      </c>
      <c r="S348" s="189">
        <f>P348-Q348-R348</f>
        <v>51949.1</v>
      </c>
      <c r="T348" s="189">
        <f t="shared" si="45"/>
        <v>205.25128407743975</v>
      </c>
      <c r="U348" s="189">
        <f>T348</f>
        <v>205.25128407743975</v>
      </c>
      <c r="V348" s="170">
        <f t="shared" si="49"/>
        <v>0</v>
      </c>
      <c r="W348" s="170"/>
      <c r="X348" s="170"/>
      <c r="Y348" s="173" t="e">
        <f t="shared" si="50"/>
        <v>#N/A</v>
      </c>
      <c r="AA348" s="173" t="e">
        <f t="shared" si="46"/>
        <v>#N/A</v>
      </c>
      <c r="AC348" s="173" t="s">
        <v>456</v>
      </c>
      <c r="AD348" s="173">
        <v>850</v>
      </c>
      <c r="AH348" s="173" t="e">
        <f t="shared" si="47"/>
        <v>#N/A</v>
      </c>
      <c r="AS348" s="173" t="e">
        <f t="shared" si="48"/>
        <v>#N/A</v>
      </c>
    </row>
    <row r="349" spans="1:45" s="173" customFormat="1" ht="36" customHeight="1" x14ac:dyDescent="0.9">
      <c r="A349" s="173">
        <v>1</v>
      </c>
      <c r="B349" s="91">
        <f>SUBTOTAL(103,$A$16:A349)</f>
        <v>315</v>
      </c>
      <c r="C349" s="90" t="s">
        <v>1248</v>
      </c>
      <c r="D349" s="185">
        <v>1972</v>
      </c>
      <c r="E349" s="185">
        <v>2010</v>
      </c>
      <c r="F349" s="191" t="s">
        <v>273</v>
      </c>
      <c r="G349" s="185">
        <v>5</v>
      </c>
      <c r="H349" s="185">
        <v>3</v>
      </c>
      <c r="I349" s="189">
        <v>4982.7</v>
      </c>
      <c r="J349" s="189">
        <v>3759.2</v>
      </c>
      <c r="K349" s="189">
        <v>2276.1</v>
      </c>
      <c r="L349" s="187">
        <v>197</v>
      </c>
      <c r="M349" s="185" t="s">
        <v>271</v>
      </c>
      <c r="N349" s="185" t="s">
        <v>275</v>
      </c>
      <c r="O349" s="188" t="s">
        <v>750</v>
      </c>
      <c r="P349" s="189">
        <v>6562845.1299999999</v>
      </c>
      <c r="Q349" s="189">
        <v>0</v>
      </c>
      <c r="R349" s="189">
        <v>0</v>
      </c>
      <c r="S349" s="189">
        <f>P349-Q349-R349</f>
        <v>6562845.1299999999</v>
      </c>
      <c r="T349" s="189">
        <f t="shared" si="45"/>
        <v>1317.1262829389689</v>
      </c>
      <c r="U349" s="189">
        <v>2753.19</v>
      </c>
      <c r="V349" s="170">
        <f t="shared" si="49"/>
        <v>1436.0637170610312</v>
      </c>
      <c r="W349" s="170"/>
      <c r="X349" s="170"/>
      <c r="Y349" s="173" t="e">
        <f t="shared" si="50"/>
        <v>#N/A</v>
      </c>
      <c r="AA349" s="173" t="e">
        <f t="shared" si="46"/>
        <v>#N/A</v>
      </c>
      <c r="AC349" s="173" t="s">
        <v>1315</v>
      </c>
      <c r="AD349" s="173">
        <v>716.68</v>
      </c>
      <c r="AH349" s="173" t="e">
        <f t="shared" si="47"/>
        <v>#N/A</v>
      </c>
      <c r="AS349" s="173" t="e">
        <f t="shared" si="48"/>
        <v>#N/A</v>
      </c>
    </row>
    <row r="350" spans="1:45" s="173" customFormat="1" ht="36" customHeight="1" x14ac:dyDescent="0.9">
      <c r="A350" s="173">
        <v>1</v>
      </c>
      <c r="B350" s="91">
        <f>SUBTOTAL(103,$A$16:A350)</f>
        <v>316</v>
      </c>
      <c r="C350" s="90" t="s">
        <v>1616</v>
      </c>
      <c r="D350" s="185">
        <v>1985</v>
      </c>
      <c r="E350" s="185"/>
      <c r="F350" s="191" t="s">
        <v>273</v>
      </c>
      <c r="G350" s="185">
        <v>2</v>
      </c>
      <c r="H350" s="185">
        <v>1</v>
      </c>
      <c r="I350" s="189">
        <v>452</v>
      </c>
      <c r="J350" s="189">
        <v>416.9</v>
      </c>
      <c r="K350" s="189">
        <f>J350-42.2</f>
        <v>374.7</v>
      </c>
      <c r="L350" s="187">
        <v>13</v>
      </c>
      <c r="M350" s="185" t="s">
        <v>271</v>
      </c>
      <c r="N350" s="185" t="s">
        <v>275</v>
      </c>
      <c r="O350" s="188" t="s">
        <v>1625</v>
      </c>
      <c r="P350" s="189">
        <v>1892011.64</v>
      </c>
      <c r="Q350" s="189">
        <v>0</v>
      </c>
      <c r="R350" s="189">
        <v>0</v>
      </c>
      <c r="S350" s="189">
        <f>P350-R350-Q350</f>
        <v>1892011.64</v>
      </c>
      <c r="T350" s="189">
        <f t="shared" si="45"/>
        <v>4185.8664601769906</v>
      </c>
      <c r="U350" s="189">
        <f>Y350</f>
        <v>4969.3744911504427</v>
      </c>
      <c r="V350" s="170">
        <f t="shared" si="49"/>
        <v>783.50803097345215</v>
      </c>
      <c r="W350" s="170"/>
      <c r="X350" s="170"/>
      <c r="Y350" s="173">
        <f t="shared" si="50"/>
        <v>4969.3744911504427</v>
      </c>
      <c r="AA350" s="173">
        <f t="shared" si="46"/>
        <v>430.15</v>
      </c>
      <c r="AC350" s="173" t="s">
        <v>474</v>
      </c>
      <c r="AD350" s="173">
        <v>724</v>
      </c>
      <c r="AH350" s="173" t="e">
        <f t="shared" si="47"/>
        <v>#N/A</v>
      </c>
      <c r="AS350" s="173" t="e">
        <f t="shared" si="48"/>
        <v>#N/A</v>
      </c>
    </row>
    <row r="351" spans="1:45" s="173" customFormat="1" ht="36" customHeight="1" x14ac:dyDescent="0.9">
      <c r="B351" s="90" t="s">
        <v>854</v>
      </c>
      <c r="C351" s="90"/>
      <c r="D351" s="185" t="s">
        <v>915</v>
      </c>
      <c r="E351" s="185" t="s">
        <v>915</v>
      </c>
      <c r="F351" s="185" t="s">
        <v>915</v>
      </c>
      <c r="G351" s="185" t="s">
        <v>915</v>
      </c>
      <c r="H351" s="185" t="s">
        <v>915</v>
      </c>
      <c r="I351" s="186">
        <f>SUM(I352:I354)</f>
        <v>12399.000000000002</v>
      </c>
      <c r="J351" s="186">
        <f>SUM(J352:J354)</f>
        <v>10511.4</v>
      </c>
      <c r="K351" s="186">
        <f>SUM(K352:K354)</f>
        <v>8974.0999999999985</v>
      </c>
      <c r="L351" s="187">
        <f>SUM(L352:L354)</f>
        <v>454</v>
      </c>
      <c r="M351" s="185" t="s">
        <v>915</v>
      </c>
      <c r="N351" s="185" t="s">
        <v>915</v>
      </c>
      <c r="O351" s="188" t="s">
        <v>915</v>
      </c>
      <c r="P351" s="186">
        <v>12214042.07</v>
      </c>
      <c r="Q351" s="186">
        <f>SUM(Q352:Q354)</f>
        <v>0</v>
      </c>
      <c r="R351" s="186">
        <f>SUM(R352:R354)</f>
        <v>0</v>
      </c>
      <c r="S351" s="186">
        <f>SUM(S352:S354)</f>
        <v>12214042.07</v>
      </c>
      <c r="T351" s="189">
        <f t="shared" si="45"/>
        <v>985.08283490604072</v>
      </c>
      <c r="U351" s="189">
        <f>MAX(U352:U354)</f>
        <v>2928.86</v>
      </c>
      <c r="V351" s="170">
        <f t="shared" si="49"/>
        <v>1943.7771650939594</v>
      </c>
      <c r="W351" s="170"/>
      <c r="X351" s="170"/>
      <c r="Y351" s="173" t="e">
        <f t="shared" si="50"/>
        <v>#N/A</v>
      </c>
      <c r="AA351" s="173" t="e">
        <f t="shared" si="46"/>
        <v>#N/A</v>
      </c>
      <c r="AC351" s="173" t="s">
        <v>1670</v>
      </c>
      <c r="AD351" s="173">
        <v>627.6</v>
      </c>
      <c r="AH351" s="173" t="e">
        <f t="shared" si="47"/>
        <v>#N/A</v>
      </c>
      <c r="AS351" s="173" t="e">
        <f t="shared" si="48"/>
        <v>#N/A</v>
      </c>
    </row>
    <row r="352" spans="1:45" s="173" customFormat="1" ht="36" customHeight="1" x14ac:dyDescent="0.9">
      <c r="A352" s="173">
        <v>1</v>
      </c>
      <c r="B352" s="91">
        <f>SUBTOTAL(103,$A$16:A352)</f>
        <v>317</v>
      </c>
      <c r="C352" s="90" t="s">
        <v>722</v>
      </c>
      <c r="D352" s="185">
        <v>1976</v>
      </c>
      <c r="E352" s="185">
        <v>2007</v>
      </c>
      <c r="F352" s="191" t="s">
        <v>319</v>
      </c>
      <c r="G352" s="185">
        <v>5</v>
      </c>
      <c r="H352" s="185">
        <v>6</v>
      </c>
      <c r="I352" s="189">
        <v>5095.72</v>
      </c>
      <c r="J352" s="189">
        <v>4603.3999999999996</v>
      </c>
      <c r="K352" s="189">
        <v>4603.3999999999996</v>
      </c>
      <c r="L352" s="187">
        <v>160</v>
      </c>
      <c r="M352" s="185" t="s">
        <v>271</v>
      </c>
      <c r="N352" s="185" t="s">
        <v>275</v>
      </c>
      <c r="O352" s="188" t="s">
        <v>751</v>
      </c>
      <c r="P352" s="189">
        <v>3971480.2600000002</v>
      </c>
      <c r="Q352" s="189">
        <v>0</v>
      </c>
      <c r="R352" s="189">
        <v>0</v>
      </c>
      <c r="S352" s="189">
        <f>P352-Q352-R352</f>
        <v>3971480.2600000002</v>
      </c>
      <c r="T352" s="189">
        <f t="shared" si="45"/>
        <v>779.37568390727904</v>
      </c>
      <c r="U352" s="189">
        <f>Y352</f>
        <v>1271.7052349815137</v>
      </c>
      <c r="V352" s="170">
        <f t="shared" si="49"/>
        <v>492.3295510742347</v>
      </c>
      <c r="W352" s="170"/>
      <c r="X352" s="170"/>
      <c r="Y352" s="173">
        <f t="shared" si="50"/>
        <v>1271.7052349815137</v>
      </c>
      <c r="AA352" s="173">
        <f t="shared" si="46"/>
        <v>1241</v>
      </c>
      <c r="AC352" s="173" t="s">
        <v>1671</v>
      </c>
      <c r="AD352" s="173">
        <v>277.89999999999998</v>
      </c>
      <c r="AH352" s="173" t="e">
        <f t="shared" si="47"/>
        <v>#N/A</v>
      </c>
      <c r="AS352" s="173" t="e">
        <f t="shared" si="48"/>
        <v>#N/A</v>
      </c>
    </row>
    <row r="353" spans="1:45" s="173" customFormat="1" ht="36" customHeight="1" x14ac:dyDescent="0.9">
      <c r="A353" s="173">
        <v>1</v>
      </c>
      <c r="B353" s="91">
        <f>SUBTOTAL(103,$A$16:A353)</f>
        <v>318</v>
      </c>
      <c r="C353" s="90" t="s">
        <v>1249</v>
      </c>
      <c r="D353" s="185">
        <v>1975</v>
      </c>
      <c r="E353" s="185">
        <v>2015</v>
      </c>
      <c r="F353" s="191" t="s">
        <v>273</v>
      </c>
      <c r="G353" s="185">
        <v>3</v>
      </c>
      <c r="H353" s="185">
        <v>2</v>
      </c>
      <c r="I353" s="189">
        <v>3932</v>
      </c>
      <c r="J353" s="189">
        <v>2816.3</v>
      </c>
      <c r="K353" s="189">
        <v>1279</v>
      </c>
      <c r="L353" s="187">
        <v>138</v>
      </c>
      <c r="M353" s="185" t="s">
        <v>271</v>
      </c>
      <c r="N353" s="185" t="s">
        <v>275</v>
      </c>
      <c r="O353" s="188" t="s">
        <v>750</v>
      </c>
      <c r="P353" s="189">
        <v>4602211.07</v>
      </c>
      <c r="Q353" s="189">
        <v>0</v>
      </c>
      <c r="R353" s="189">
        <v>0</v>
      </c>
      <c r="S353" s="189">
        <f>P353-Q353-R353</f>
        <v>4602211.07</v>
      </c>
      <c r="T353" s="189">
        <f t="shared" si="45"/>
        <v>1170.4504247202442</v>
      </c>
      <c r="U353" s="189">
        <v>2928.86</v>
      </c>
      <c r="V353" s="170">
        <f t="shared" si="49"/>
        <v>1758.4095752797559</v>
      </c>
      <c r="W353" s="170"/>
      <c r="X353" s="170"/>
      <c r="Y353" s="173" t="e">
        <f t="shared" si="50"/>
        <v>#N/A</v>
      </c>
      <c r="AA353" s="173" t="e">
        <f t="shared" si="46"/>
        <v>#N/A</v>
      </c>
      <c r="AC353" s="173" t="s">
        <v>1672</v>
      </c>
      <c r="AD353" s="173">
        <v>544.9</v>
      </c>
      <c r="AH353" s="173" t="e">
        <f t="shared" si="47"/>
        <v>#N/A</v>
      </c>
      <c r="AS353" s="173" t="e">
        <f t="shared" si="48"/>
        <v>#N/A</v>
      </c>
    </row>
    <row r="354" spans="1:45" s="173" customFormat="1" ht="36" customHeight="1" x14ac:dyDescent="0.9">
      <c r="A354" s="173">
        <v>1</v>
      </c>
      <c r="B354" s="91">
        <f>SUBTOTAL(103,$A$16:A354)</f>
        <v>319</v>
      </c>
      <c r="C354" s="90" t="s">
        <v>1599</v>
      </c>
      <c r="D354" s="196">
        <v>1978</v>
      </c>
      <c r="E354" s="196"/>
      <c r="F354" s="197" t="s">
        <v>326</v>
      </c>
      <c r="G354" s="196">
        <v>5</v>
      </c>
      <c r="H354" s="196">
        <v>4</v>
      </c>
      <c r="I354" s="198">
        <v>3371.28</v>
      </c>
      <c r="J354" s="198">
        <v>3091.7</v>
      </c>
      <c r="K354" s="198">
        <v>3091.7</v>
      </c>
      <c r="L354" s="199">
        <v>156</v>
      </c>
      <c r="M354" s="196" t="s">
        <v>271</v>
      </c>
      <c r="N354" s="196" t="s">
        <v>275</v>
      </c>
      <c r="O354" s="200" t="s">
        <v>1626</v>
      </c>
      <c r="P354" s="189">
        <v>3640350.74</v>
      </c>
      <c r="Q354" s="189">
        <v>0</v>
      </c>
      <c r="R354" s="189">
        <v>0</v>
      </c>
      <c r="S354" s="189">
        <f>P354-R354-Q354</f>
        <v>3640350.74</v>
      </c>
      <c r="T354" s="189">
        <f t="shared" si="45"/>
        <v>1079.8126349635747</v>
      </c>
      <c r="U354" s="189">
        <f>Y354</f>
        <v>1181.5064426567949</v>
      </c>
      <c r="V354" s="170">
        <f t="shared" si="49"/>
        <v>101.69380769322015</v>
      </c>
      <c r="W354" s="170"/>
      <c r="X354" s="170"/>
      <c r="Y354" s="173">
        <f t="shared" si="50"/>
        <v>1181.5064426567949</v>
      </c>
      <c r="AA354" s="173">
        <f t="shared" si="46"/>
        <v>762.8</v>
      </c>
      <c r="AC354" s="173" t="s">
        <v>1673</v>
      </c>
      <c r="AD354" s="173">
        <v>337</v>
      </c>
      <c r="AH354" s="173" t="e">
        <f t="shared" si="47"/>
        <v>#N/A</v>
      </c>
      <c r="AS354" s="173" t="e">
        <f t="shared" si="48"/>
        <v>#N/A</v>
      </c>
    </row>
    <row r="355" spans="1:45" s="173" customFormat="1" ht="36" customHeight="1" x14ac:dyDescent="0.9">
      <c r="B355" s="90" t="s">
        <v>855</v>
      </c>
      <c r="C355" s="90"/>
      <c r="D355" s="185" t="s">
        <v>915</v>
      </c>
      <c r="E355" s="185" t="s">
        <v>915</v>
      </c>
      <c r="F355" s="185" t="s">
        <v>915</v>
      </c>
      <c r="G355" s="185" t="s">
        <v>915</v>
      </c>
      <c r="H355" s="185" t="s">
        <v>915</v>
      </c>
      <c r="I355" s="186">
        <f>I356</f>
        <v>846.4</v>
      </c>
      <c r="J355" s="186">
        <f>J356</f>
        <v>794.7</v>
      </c>
      <c r="K355" s="186">
        <f>K356</f>
        <v>794.7</v>
      </c>
      <c r="L355" s="187">
        <f>L356</f>
        <v>26</v>
      </c>
      <c r="M355" s="185" t="s">
        <v>915</v>
      </c>
      <c r="N355" s="185" t="s">
        <v>915</v>
      </c>
      <c r="O355" s="188" t="s">
        <v>915</v>
      </c>
      <c r="P355" s="189">
        <v>5698132.5200000005</v>
      </c>
      <c r="Q355" s="189">
        <f>Q356</f>
        <v>0</v>
      </c>
      <c r="R355" s="189">
        <f>R356</f>
        <v>0</v>
      </c>
      <c r="S355" s="189">
        <f>S356</f>
        <v>5698132.5200000005</v>
      </c>
      <c r="T355" s="189">
        <f t="shared" si="45"/>
        <v>6732.1981568998117</v>
      </c>
      <c r="U355" s="189">
        <f>U356</f>
        <v>7643.8273359268387</v>
      </c>
      <c r="V355" s="170">
        <f t="shared" si="49"/>
        <v>911.62917902702702</v>
      </c>
      <c r="W355" s="170"/>
      <c r="X355" s="170"/>
      <c r="Y355" s="173" t="e">
        <f t="shared" si="50"/>
        <v>#N/A</v>
      </c>
      <c r="AA355" s="173" t="e">
        <f t="shared" si="46"/>
        <v>#N/A</v>
      </c>
      <c r="AC355" s="173" t="s">
        <v>411</v>
      </c>
      <c r="AD355" s="173">
        <v>1397</v>
      </c>
      <c r="AH355" s="173" t="e">
        <f t="shared" si="47"/>
        <v>#N/A</v>
      </c>
      <c r="AS355" s="173" t="e">
        <f t="shared" si="48"/>
        <v>#N/A</v>
      </c>
    </row>
    <row r="356" spans="1:45" s="173" customFormat="1" ht="36" customHeight="1" x14ac:dyDescent="0.9">
      <c r="A356" s="173">
        <v>1</v>
      </c>
      <c r="B356" s="91">
        <f>SUBTOTAL(103,$A$16:A356)</f>
        <v>320</v>
      </c>
      <c r="C356" s="90" t="s">
        <v>820</v>
      </c>
      <c r="D356" s="185">
        <v>1981</v>
      </c>
      <c r="E356" s="185"/>
      <c r="F356" s="191" t="s">
        <v>273</v>
      </c>
      <c r="G356" s="185">
        <v>2</v>
      </c>
      <c r="H356" s="185">
        <v>2</v>
      </c>
      <c r="I356" s="189">
        <v>846.4</v>
      </c>
      <c r="J356" s="189">
        <v>794.7</v>
      </c>
      <c r="K356" s="189">
        <v>794.7</v>
      </c>
      <c r="L356" s="187">
        <v>26</v>
      </c>
      <c r="M356" s="185" t="s">
        <v>271</v>
      </c>
      <c r="N356" s="185" t="s">
        <v>275</v>
      </c>
      <c r="O356" s="188" t="s">
        <v>750</v>
      </c>
      <c r="P356" s="189">
        <v>5698132.5200000005</v>
      </c>
      <c r="Q356" s="189">
        <v>0</v>
      </c>
      <c r="R356" s="189">
        <v>0</v>
      </c>
      <c r="S356" s="189">
        <f>P356-Q356-R356</f>
        <v>5698132.5200000005</v>
      </c>
      <c r="T356" s="189">
        <f t="shared" si="45"/>
        <v>6732.1981568998117</v>
      </c>
      <c r="U356" s="189">
        <f>Y356+AG356</f>
        <v>7643.8273359268387</v>
      </c>
      <c r="V356" s="170">
        <f t="shared" si="49"/>
        <v>911.62917902702702</v>
      </c>
      <c r="W356" s="170"/>
      <c r="X356" s="170"/>
      <c r="Y356" s="173">
        <f t="shared" si="50"/>
        <v>2930.4761342155011</v>
      </c>
      <c r="AA356" s="173">
        <f t="shared" si="46"/>
        <v>475</v>
      </c>
      <c r="AC356" s="173" t="s">
        <v>413</v>
      </c>
      <c r="AD356" s="173">
        <v>918</v>
      </c>
      <c r="AG356" s="173">
        <f>AH356*6191.24/J356</f>
        <v>4713.3512017113371</v>
      </c>
      <c r="AH356" s="173">
        <f t="shared" si="47"/>
        <v>605</v>
      </c>
      <c r="AS356" s="173" t="e">
        <f t="shared" si="48"/>
        <v>#N/A</v>
      </c>
    </row>
    <row r="357" spans="1:45" s="173" customFormat="1" ht="36" customHeight="1" x14ac:dyDescent="0.9">
      <c r="B357" s="90" t="s">
        <v>856</v>
      </c>
      <c r="C357" s="192"/>
      <c r="D357" s="185" t="s">
        <v>915</v>
      </c>
      <c r="E357" s="185" t="s">
        <v>915</v>
      </c>
      <c r="F357" s="185" t="s">
        <v>915</v>
      </c>
      <c r="G357" s="185" t="s">
        <v>915</v>
      </c>
      <c r="H357" s="185" t="s">
        <v>915</v>
      </c>
      <c r="I357" s="186">
        <f>SUM(I358:I372)</f>
        <v>47247.65</v>
      </c>
      <c r="J357" s="186">
        <f>SUM(J358:J372)</f>
        <v>36559.94</v>
      </c>
      <c r="K357" s="186">
        <f>SUM(K358:K372)</f>
        <v>35483.350000000006</v>
      </c>
      <c r="L357" s="187">
        <f>SUM(L358:L372)</f>
        <v>1628</v>
      </c>
      <c r="M357" s="185" t="s">
        <v>915</v>
      </c>
      <c r="N357" s="185" t="s">
        <v>915</v>
      </c>
      <c r="O357" s="188" t="s">
        <v>915</v>
      </c>
      <c r="P357" s="186">
        <v>54424256.630000003</v>
      </c>
      <c r="Q357" s="186">
        <f>SUM(Q358:Q372)</f>
        <v>0</v>
      </c>
      <c r="R357" s="186">
        <f>SUM(R358:R372)</f>
        <v>0</v>
      </c>
      <c r="S357" s="186">
        <f>SUM(S358:S372)</f>
        <v>54424256.630000003</v>
      </c>
      <c r="T357" s="189">
        <f t="shared" si="45"/>
        <v>1151.8934090901876</v>
      </c>
      <c r="U357" s="189">
        <f>MAX(U358:U372)</f>
        <v>4624.3546416938116</v>
      </c>
      <c r="V357" s="170">
        <f t="shared" si="49"/>
        <v>3472.461232603624</v>
      </c>
      <c r="W357" s="170"/>
      <c r="X357" s="170"/>
      <c r="Y357" s="173" t="e">
        <f t="shared" si="50"/>
        <v>#N/A</v>
      </c>
      <c r="AA357" s="173" t="e">
        <f t="shared" si="46"/>
        <v>#N/A</v>
      </c>
      <c r="AC357" s="173" t="s">
        <v>414</v>
      </c>
      <c r="AD357" s="173">
        <v>650</v>
      </c>
      <c r="AH357" s="173" t="e">
        <f t="shared" si="47"/>
        <v>#N/A</v>
      </c>
      <c r="AS357" s="173" t="e">
        <f t="shared" si="48"/>
        <v>#N/A</v>
      </c>
    </row>
    <row r="358" spans="1:45" s="173" customFormat="1" ht="36" customHeight="1" x14ac:dyDescent="0.9">
      <c r="A358" s="173">
        <v>1</v>
      </c>
      <c r="B358" s="91">
        <f>SUBTOTAL(103,$A$16:A358)</f>
        <v>321</v>
      </c>
      <c r="C358" s="90" t="s">
        <v>115</v>
      </c>
      <c r="D358" s="185">
        <v>1973</v>
      </c>
      <c r="E358" s="185"/>
      <c r="F358" s="191" t="s">
        <v>273</v>
      </c>
      <c r="G358" s="185">
        <v>2</v>
      </c>
      <c r="H358" s="185">
        <v>2</v>
      </c>
      <c r="I358" s="189">
        <v>781.03</v>
      </c>
      <c r="J358" s="189">
        <v>720.97</v>
      </c>
      <c r="K358" s="189">
        <v>681.23</v>
      </c>
      <c r="L358" s="187">
        <v>38</v>
      </c>
      <c r="M358" s="185" t="s">
        <v>271</v>
      </c>
      <c r="N358" s="185" t="s">
        <v>275</v>
      </c>
      <c r="O358" s="188" t="s">
        <v>290</v>
      </c>
      <c r="P358" s="189">
        <v>3243247.07</v>
      </c>
      <c r="Q358" s="189">
        <v>0</v>
      </c>
      <c r="R358" s="189">
        <v>0</v>
      </c>
      <c r="S358" s="189">
        <f t="shared" ref="S358:S370" si="51">P358-Q358-R358</f>
        <v>3243247.07</v>
      </c>
      <c r="T358" s="189">
        <f t="shared" si="45"/>
        <v>4152.5256008091874</v>
      </c>
      <c r="U358" s="189">
        <f t="shared" ref="U358:U363" si="52">Y358</f>
        <v>4446.0481671638736</v>
      </c>
      <c r="V358" s="170">
        <f t="shared" si="49"/>
        <v>293.52256635468621</v>
      </c>
      <c r="W358" s="170"/>
      <c r="X358" s="170"/>
      <c r="Y358" s="173">
        <f t="shared" si="50"/>
        <v>4446.0481671638736</v>
      </c>
      <c r="AA358" s="173">
        <f t="shared" si="46"/>
        <v>665</v>
      </c>
      <c r="AC358" s="173" t="s">
        <v>415</v>
      </c>
      <c r="AD358" s="173">
        <v>620</v>
      </c>
      <c r="AH358" s="173" t="e">
        <f t="shared" si="47"/>
        <v>#N/A</v>
      </c>
      <c r="AS358" s="173" t="e">
        <f t="shared" si="48"/>
        <v>#N/A</v>
      </c>
    </row>
    <row r="359" spans="1:45" s="173" customFormat="1" ht="36" customHeight="1" x14ac:dyDescent="0.9">
      <c r="A359" s="173">
        <v>1</v>
      </c>
      <c r="B359" s="91">
        <f>SUBTOTAL(103,$A$16:A359)</f>
        <v>322</v>
      </c>
      <c r="C359" s="90" t="s">
        <v>118</v>
      </c>
      <c r="D359" s="185">
        <v>1972</v>
      </c>
      <c r="E359" s="185"/>
      <c r="F359" s="191" t="s">
        <v>273</v>
      </c>
      <c r="G359" s="185">
        <v>2</v>
      </c>
      <c r="H359" s="185">
        <v>2</v>
      </c>
      <c r="I359" s="189">
        <v>788.14</v>
      </c>
      <c r="J359" s="189">
        <v>731.72</v>
      </c>
      <c r="K359" s="189">
        <v>674.63</v>
      </c>
      <c r="L359" s="187">
        <v>35</v>
      </c>
      <c r="M359" s="185" t="s">
        <v>271</v>
      </c>
      <c r="N359" s="185" t="s">
        <v>275</v>
      </c>
      <c r="O359" s="188" t="s">
        <v>290</v>
      </c>
      <c r="P359" s="189">
        <v>3024972.77</v>
      </c>
      <c r="Q359" s="189">
        <v>0</v>
      </c>
      <c r="R359" s="189">
        <v>0</v>
      </c>
      <c r="S359" s="189">
        <f t="shared" si="51"/>
        <v>3024972.77</v>
      </c>
      <c r="T359" s="189">
        <f t="shared" si="45"/>
        <v>3838.1160326845484</v>
      </c>
      <c r="U359" s="189">
        <f t="shared" si="52"/>
        <v>4116.4061461161718</v>
      </c>
      <c r="V359" s="170">
        <f t="shared" si="49"/>
        <v>278.29011343162347</v>
      </c>
      <c r="W359" s="170"/>
      <c r="X359" s="170"/>
      <c r="Y359" s="173">
        <f t="shared" si="50"/>
        <v>4116.4061461161718</v>
      </c>
      <c r="AA359" s="173">
        <f t="shared" si="46"/>
        <v>621.29999999999995</v>
      </c>
      <c r="AC359" s="173" t="s">
        <v>416</v>
      </c>
      <c r="AD359" s="173">
        <v>600</v>
      </c>
      <c r="AH359" s="173" t="e">
        <f t="shared" si="47"/>
        <v>#N/A</v>
      </c>
      <c r="AS359" s="173" t="e">
        <f t="shared" si="48"/>
        <v>#N/A</v>
      </c>
    </row>
    <row r="360" spans="1:45" s="173" customFormat="1" ht="36" customHeight="1" x14ac:dyDescent="0.9">
      <c r="A360" s="173">
        <v>1</v>
      </c>
      <c r="B360" s="91">
        <f>SUBTOTAL(103,$A$16:A360)</f>
        <v>323</v>
      </c>
      <c r="C360" s="90" t="s">
        <v>114</v>
      </c>
      <c r="D360" s="185">
        <v>1969</v>
      </c>
      <c r="E360" s="185"/>
      <c r="F360" s="191" t="s">
        <v>273</v>
      </c>
      <c r="G360" s="185">
        <v>2</v>
      </c>
      <c r="H360" s="185">
        <v>1</v>
      </c>
      <c r="I360" s="189">
        <v>399.42</v>
      </c>
      <c r="J360" s="189">
        <v>370.5</v>
      </c>
      <c r="K360" s="189">
        <v>326.83</v>
      </c>
      <c r="L360" s="187">
        <v>18</v>
      </c>
      <c r="M360" s="185" t="s">
        <v>271</v>
      </c>
      <c r="N360" s="185" t="s">
        <v>275</v>
      </c>
      <c r="O360" s="188" t="s">
        <v>290</v>
      </c>
      <c r="P360" s="189">
        <v>1548323.74</v>
      </c>
      <c r="Q360" s="189">
        <v>0</v>
      </c>
      <c r="R360" s="189">
        <v>0</v>
      </c>
      <c r="S360" s="189">
        <f t="shared" si="51"/>
        <v>1548323.74</v>
      </c>
      <c r="T360" s="189">
        <f t="shared" si="45"/>
        <v>3876.4301737519399</v>
      </c>
      <c r="U360" s="189">
        <f t="shared" si="52"/>
        <v>4229.2631816133389</v>
      </c>
      <c r="V360" s="170">
        <f t="shared" si="49"/>
        <v>352.83300786139898</v>
      </c>
      <c r="W360" s="170"/>
      <c r="X360" s="170"/>
      <c r="Y360" s="173">
        <f t="shared" si="50"/>
        <v>4229.2631816133389</v>
      </c>
      <c r="AA360" s="173">
        <f t="shared" si="46"/>
        <v>323.5</v>
      </c>
      <c r="AC360" s="173" t="s">
        <v>417</v>
      </c>
      <c r="AD360" s="173">
        <v>477</v>
      </c>
      <c r="AH360" s="173" t="e">
        <f t="shared" si="47"/>
        <v>#N/A</v>
      </c>
      <c r="AS360" s="173" t="e">
        <f t="shared" si="48"/>
        <v>#N/A</v>
      </c>
    </row>
    <row r="361" spans="1:45" s="173" customFormat="1" ht="36" customHeight="1" x14ac:dyDescent="0.9">
      <c r="A361" s="173">
        <v>1</v>
      </c>
      <c r="B361" s="91">
        <f>SUBTOTAL(103,$A$16:A361)</f>
        <v>324</v>
      </c>
      <c r="C361" s="90" t="s">
        <v>116</v>
      </c>
      <c r="D361" s="185">
        <v>1972</v>
      </c>
      <c r="E361" s="185"/>
      <c r="F361" s="191" t="s">
        <v>293</v>
      </c>
      <c r="G361" s="185">
        <v>5</v>
      </c>
      <c r="H361" s="185">
        <v>5</v>
      </c>
      <c r="I361" s="189">
        <v>5806.44</v>
      </c>
      <c r="J361" s="189">
        <v>4492</v>
      </c>
      <c r="K361" s="189">
        <v>4492</v>
      </c>
      <c r="L361" s="187">
        <v>211</v>
      </c>
      <c r="M361" s="185" t="s">
        <v>271</v>
      </c>
      <c r="N361" s="185" t="s">
        <v>275</v>
      </c>
      <c r="O361" s="188" t="s">
        <v>291</v>
      </c>
      <c r="P361" s="189">
        <v>4597872.8600000003</v>
      </c>
      <c r="Q361" s="189">
        <v>0</v>
      </c>
      <c r="R361" s="189">
        <v>0</v>
      </c>
      <c r="S361" s="189">
        <f t="shared" si="51"/>
        <v>4597872.8600000003</v>
      </c>
      <c r="T361" s="189">
        <f t="shared" si="45"/>
        <v>791.8574651593749</v>
      </c>
      <c r="U361" s="189">
        <f t="shared" si="52"/>
        <v>1130.3449996899997</v>
      </c>
      <c r="V361" s="170">
        <f t="shared" si="49"/>
        <v>338.48753453062477</v>
      </c>
      <c r="W361" s="170"/>
      <c r="X361" s="170"/>
      <c r="Y361" s="173">
        <f t="shared" si="50"/>
        <v>1130.3449996899997</v>
      </c>
      <c r="AA361" s="173">
        <f t="shared" si="46"/>
        <v>1256.9000000000001</v>
      </c>
      <c r="AC361" s="173" t="s">
        <v>418</v>
      </c>
      <c r="AD361" s="173">
        <v>472</v>
      </c>
      <c r="AH361" s="173" t="e">
        <f t="shared" si="47"/>
        <v>#N/A</v>
      </c>
      <c r="AS361" s="173" t="e">
        <f t="shared" si="48"/>
        <v>#N/A</v>
      </c>
    </row>
    <row r="362" spans="1:45" s="173" customFormat="1" ht="36" customHeight="1" x14ac:dyDescent="0.9">
      <c r="A362" s="173">
        <v>1</v>
      </c>
      <c r="B362" s="91">
        <f>SUBTOTAL(103,$A$16:A362)</f>
        <v>325</v>
      </c>
      <c r="C362" s="90" t="s">
        <v>117</v>
      </c>
      <c r="D362" s="185">
        <v>1973</v>
      </c>
      <c r="E362" s="185"/>
      <c r="F362" s="191" t="s">
        <v>293</v>
      </c>
      <c r="G362" s="185">
        <v>5</v>
      </c>
      <c r="H362" s="185">
        <v>6</v>
      </c>
      <c r="I362" s="189">
        <v>6042.57</v>
      </c>
      <c r="J362" s="189">
        <v>4619</v>
      </c>
      <c r="K362" s="189">
        <v>4619</v>
      </c>
      <c r="L362" s="187">
        <v>176</v>
      </c>
      <c r="M362" s="185" t="s">
        <v>271</v>
      </c>
      <c r="N362" s="185" t="s">
        <v>275</v>
      </c>
      <c r="O362" s="188" t="s">
        <v>291</v>
      </c>
      <c r="P362" s="189">
        <v>5549355.2299999995</v>
      </c>
      <c r="Q362" s="189">
        <v>0</v>
      </c>
      <c r="R362" s="189">
        <v>0</v>
      </c>
      <c r="S362" s="189">
        <f t="shared" si="51"/>
        <v>5549355.2299999995</v>
      </c>
      <c r="T362" s="189">
        <f t="shared" si="45"/>
        <v>918.37665595930207</v>
      </c>
      <c r="U362" s="189">
        <f t="shared" si="52"/>
        <v>994.65820007049979</v>
      </c>
      <c r="V362" s="170">
        <f t="shared" si="49"/>
        <v>76.281544111197718</v>
      </c>
      <c r="W362" s="170"/>
      <c r="X362" s="170"/>
      <c r="Y362" s="173">
        <f t="shared" si="50"/>
        <v>994.65820007049979</v>
      </c>
      <c r="AA362" s="173">
        <f t="shared" si="46"/>
        <v>1151</v>
      </c>
      <c r="AC362" s="173" t="s">
        <v>419</v>
      </c>
      <c r="AD362" s="173">
        <v>469</v>
      </c>
      <c r="AH362" s="173" t="e">
        <f t="shared" si="47"/>
        <v>#N/A</v>
      </c>
      <c r="AS362" s="173" t="e">
        <f t="shared" si="48"/>
        <v>#N/A</v>
      </c>
    </row>
    <row r="363" spans="1:45" s="173" customFormat="1" ht="36" customHeight="1" x14ac:dyDescent="0.9">
      <c r="A363" s="173">
        <v>1</v>
      </c>
      <c r="B363" s="91">
        <f>SUBTOTAL(103,$A$16:A363)</f>
        <v>326</v>
      </c>
      <c r="C363" s="90" t="s">
        <v>119</v>
      </c>
      <c r="D363" s="185">
        <v>1973</v>
      </c>
      <c r="E363" s="185"/>
      <c r="F363" s="191" t="s">
        <v>273</v>
      </c>
      <c r="G363" s="185">
        <v>2</v>
      </c>
      <c r="H363" s="185">
        <v>2</v>
      </c>
      <c r="I363" s="189">
        <v>787.52</v>
      </c>
      <c r="J363" s="189">
        <v>728.1</v>
      </c>
      <c r="K363" s="189">
        <v>728.1</v>
      </c>
      <c r="L363" s="187">
        <v>30</v>
      </c>
      <c r="M363" s="185" t="s">
        <v>271</v>
      </c>
      <c r="N363" s="185" t="s">
        <v>275</v>
      </c>
      <c r="O363" s="188" t="s">
        <v>291</v>
      </c>
      <c r="P363" s="189">
        <v>3118132.03</v>
      </c>
      <c r="Q363" s="189">
        <v>0</v>
      </c>
      <c r="R363" s="189">
        <v>0</v>
      </c>
      <c r="S363" s="189">
        <f t="shared" si="51"/>
        <v>3118132.03</v>
      </c>
      <c r="T363" s="189">
        <f t="shared" si="45"/>
        <v>3959.4321795002029</v>
      </c>
      <c r="U363" s="189">
        <f t="shared" si="52"/>
        <v>4242.9777275497763</v>
      </c>
      <c r="V363" s="170">
        <f t="shared" si="49"/>
        <v>283.54554804957343</v>
      </c>
      <c r="W363" s="170"/>
      <c r="X363" s="170"/>
      <c r="Y363" s="173">
        <f t="shared" si="50"/>
        <v>4242.9777275497763</v>
      </c>
      <c r="AA363" s="173">
        <f t="shared" si="46"/>
        <v>639.9</v>
      </c>
      <c r="AC363" s="173" t="s">
        <v>420</v>
      </c>
      <c r="AD363" s="173">
        <v>1314</v>
      </c>
      <c r="AH363" s="173" t="e">
        <f t="shared" si="47"/>
        <v>#N/A</v>
      </c>
      <c r="AS363" s="173" t="e">
        <f t="shared" si="48"/>
        <v>#N/A</v>
      </c>
    </row>
    <row r="364" spans="1:45" s="173" customFormat="1" ht="36" customHeight="1" x14ac:dyDescent="0.9">
      <c r="A364" s="173">
        <v>1</v>
      </c>
      <c r="B364" s="91">
        <f>SUBTOTAL(103,$A$16:A364)</f>
        <v>327</v>
      </c>
      <c r="C364" s="90" t="s">
        <v>120</v>
      </c>
      <c r="D364" s="185">
        <v>1979</v>
      </c>
      <c r="E364" s="185"/>
      <c r="F364" s="191" t="s">
        <v>273</v>
      </c>
      <c r="G364" s="185">
        <v>2</v>
      </c>
      <c r="H364" s="185">
        <v>3</v>
      </c>
      <c r="I364" s="189">
        <v>1253.7</v>
      </c>
      <c r="J364" s="189">
        <v>1133.5</v>
      </c>
      <c r="K364" s="189">
        <v>1133.5</v>
      </c>
      <c r="L364" s="187">
        <v>56</v>
      </c>
      <c r="M364" s="185" t="s">
        <v>271</v>
      </c>
      <c r="N364" s="185" t="s">
        <v>275</v>
      </c>
      <c r="O364" s="188" t="s">
        <v>291</v>
      </c>
      <c r="P364" s="189">
        <v>2197982.44</v>
      </c>
      <c r="Q364" s="189">
        <v>0</v>
      </c>
      <c r="R364" s="189">
        <v>0</v>
      </c>
      <c r="S364" s="189">
        <f t="shared" si="51"/>
        <v>2197982.44</v>
      </c>
      <c r="T364" s="189">
        <f t="shared" si="45"/>
        <v>1753.19649038845</v>
      </c>
      <c r="U364" s="189">
        <v>3023.77</v>
      </c>
      <c r="V364" s="170">
        <f t="shared" si="49"/>
        <v>1270.57350961155</v>
      </c>
      <c r="W364" s="170"/>
      <c r="X364" s="170"/>
      <c r="Y364" s="173" t="e">
        <f t="shared" si="50"/>
        <v>#N/A</v>
      </c>
      <c r="AA364" s="173" t="e">
        <f t="shared" si="46"/>
        <v>#N/A</v>
      </c>
      <c r="AC364" s="173" t="s">
        <v>421</v>
      </c>
      <c r="AD364" s="173">
        <v>1134</v>
      </c>
      <c r="AH364" s="173" t="e">
        <f t="shared" si="47"/>
        <v>#N/A</v>
      </c>
      <c r="AS364" s="173" t="e">
        <f t="shared" si="48"/>
        <v>#N/A</v>
      </c>
    </row>
    <row r="365" spans="1:45" s="173" customFormat="1" ht="36" customHeight="1" x14ac:dyDescent="0.9">
      <c r="A365" s="173">
        <v>1</v>
      </c>
      <c r="B365" s="91">
        <f>SUBTOTAL(103,$A$16:A365)</f>
        <v>328</v>
      </c>
      <c r="C365" s="90" t="s">
        <v>1250</v>
      </c>
      <c r="D365" s="185" t="s">
        <v>317</v>
      </c>
      <c r="E365" s="185"/>
      <c r="F365" s="191" t="s">
        <v>273</v>
      </c>
      <c r="G365" s="185" t="s">
        <v>360</v>
      </c>
      <c r="H365" s="185" t="s">
        <v>380</v>
      </c>
      <c r="I365" s="189">
        <v>5104.97</v>
      </c>
      <c r="J365" s="189">
        <v>4716.63</v>
      </c>
      <c r="K365" s="189">
        <v>3830.44</v>
      </c>
      <c r="L365" s="187">
        <v>208</v>
      </c>
      <c r="M365" s="185" t="s">
        <v>271</v>
      </c>
      <c r="N365" s="185" t="s">
        <v>275</v>
      </c>
      <c r="O365" s="188" t="s">
        <v>1336</v>
      </c>
      <c r="P365" s="189">
        <v>6045408.0499999998</v>
      </c>
      <c r="Q365" s="189">
        <v>0</v>
      </c>
      <c r="R365" s="189">
        <v>0</v>
      </c>
      <c r="S365" s="189">
        <f t="shared" si="51"/>
        <v>6045408.0499999998</v>
      </c>
      <c r="T365" s="189">
        <f t="shared" si="45"/>
        <v>1184.22009336</v>
      </c>
      <c r="U365" s="189">
        <f>AG365</f>
        <v>4494.6782864036395</v>
      </c>
      <c r="V365" s="170">
        <f t="shared" si="49"/>
        <v>3310.4581930436398</v>
      </c>
      <c r="W365" s="170"/>
      <c r="X365" s="170"/>
      <c r="Y365" s="173" t="e">
        <f t="shared" si="50"/>
        <v>#N/A</v>
      </c>
      <c r="AA365" s="173" t="e">
        <f t="shared" si="46"/>
        <v>#N/A</v>
      </c>
      <c r="AC365" s="173" t="s">
        <v>422</v>
      </c>
      <c r="AD365" s="173">
        <v>579</v>
      </c>
      <c r="AG365" s="173">
        <f>AH365*6191.24/J365</f>
        <v>4494.6782864036395</v>
      </c>
      <c r="AH365" s="173">
        <f t="shared" si="47"/>
        <v>3424.15</v>
      </c>
      <c r="AS365" s="173" t="e">
        <f t="shared" si="48"/>
        <v>#N/A</v>
      </c>
    </row>
    <row r="366" spans="1:45" s="173" customFormat="1" ht="36" customHeight="1" x14ac:dyDescent="0.9">
      <c r="A366" s="173">
        <v>1</v>
      </c>
      <c r="B366" s="91">
        <f>SUBTOTAL(103,$A$16:A366)</f>
        <v>329</v>
      </c>
      <c r="C366" s="90" t="s">
        <v>1251</v>
      </c>
      <c r="D366" s="185">
        <v>1973</v>
      </c>
      <c r="E366" s="185"/>
      <c r="F366" s="191" t="s">
        <v>326</v>
      </c>
      <c r="G366" s="185">
        <v>5</v>
      </c>
      <c r="H366" s="185">
        <v>6</v>
      </c>
      <c r="I366" s="189">
        <v>4615</v>
      </c>
      <c r="J366" s="189">
        <v>3188.68</v>
      </c>
      <c r="K366" s="189">
        <v>3188.68</v>
      </c>
      <c r="L366" s="187">
        <v>184</v>
      </c>
      <c r="M366" s="185" t="s">
        <v>271</v>
      </c>
      <c r="N366" s="185" t="s">
        <v>275</v>
      </c>
      <c r="O366" s="188" t="s">
        <v>1337</v>
      </c>
      <c r="P366" s="189">
        <v>4137465.72</v>
      </c>
      <c r="Q366" s="189">
        <v>0</v>
      </c>
      <c r="R366" s="189">
        <v>0</v>
      </c>
      <c r="S366" s="189">
        <f t="shared" si="51"/>
        <v>4137465.72</v>
      </c>
      <c r="T366" s="189">
        <f t="shared" si="45"/>
        <v>896.52561646803906</v>
      </c>
      <c r="U366" s="189">
        <f>Y366</f>
        <v>1301.5463791982665</v>
      </c>
      <c r="V366" s="170">
        <f t="shared" si="49"/>
        <v>405.02076273022749</v>
      </c>
      <c r="W366" s="170"/>
      <c r="X366" s="170"/>
      <c r="Y366" s="173">
        <f t="shared" si="50"/>
        <v>1301.5463791982665</v>
      </c>
      <c r="AA366" s="173">
        <f t="shared" si="46"/>
        <v>1150.3</v>
      </c>
      <c r="AC366" s="173" t="s">
        <v>423</v>
      </c>
      <c r="AD366" s="173">
        <v>570</v>
      </c>
      <c r="AH366" s="173" t="e">
        <f t="shared" si="47"/>
        <v>#N/A</v>
      </c>
      <c r="AS366" s="173" t="e">
        <f t="shared" si="48"/>
        <v>#N/A</v>
      </c>
    </row>
    <row r="367" spans="1:45" s="173" customFormat="1" ht="36" customHeight="1" x14ac:dyDescent="0.9">
      <c r="A367" s="173">
        <v>1</v>
      </c>
      <c r="B367" s="91">
        <f>SUBTOTAL(103,$A$16:A367)</f>
        <v>330</v>
      </c>
      <c r="C367" s="90" t="s">
        <v>1252</v>
      </c>
      <c r="D367" s="185">
        <v>1974</v>
      </c>
      <c r="E367" s="185"/>
      <c r="F367" s="191" t="s">
        <v>293</v>
      </c>
      <c r="G367" s="185">
        <v>5</v>
      </c>
      <c r="H367" s="185">
        <v>4</v>
      </c>
      <c r="I367" s="189">
        <v>4089.9</v>
      </c>
      <c r="J367" s="189">
        <v>3096</v>
      </c>
      <c r="K367" s="189">
        <v>3096</v>
      </c>
      <c r="L367" s="187">
        <v>116</v>
      </c>
      <c r="M367" s="185" t="s">
        <v>271</v>
      </c>
      <c r="N367" s="185" t="s">
        <v>275</v>
      </c>
      <c r="O367" s="188" t="s">
        <v>1358</v>
      </c>
      <c r="P367" s="189">
        <v>2832917.6399999997</v>
      </c>
      <c r="Q367" s="189">
        <v>0</v>
      </c>
      <c r="R367" s="189">
        <v>0</v>
      </c>
      <c r="S367" s="189">
        <f t="shared" si="51"/>
        <v>2832917.6399999997</v>
      </c>
      <c r="T367" s="189">
        <f t="shared" si="45"/>
        <v>692.6618352526956</v>
      </c>
      <c r="U367" s="189">
        <f>Y367</f>
        <v>975.18541773637492</v>
      </c>
      <c r="V367" s="170">
        <f t="shared" si="49"/>
        <v>282.52358248367932</v>
      </c>
      <c r="W367" s="170"/>
      <c r="X367" s="170"/>
      <c r="Y367" s="173">
        <f t="shared" si="50"/>
        <v>975.18541773637492</v>
      </c>
      <c r="AA367" s="173">
        <f t="shared" si="46"/>
        <v>763.8</v>
      </c>
      <c r="AC367" s="173" t="s">
        <v>424</v>
      </c>
      <c r="AD367" s="173">
        <v>322</v>
      </c>
      <c r="AH367" s="173" t="e">
        <f t="shared" si="47"/>
        <v>#N/A</v>
      </c>
      <c r="AS367" s="173" t="e">
        <f t="shared" si="48"/>
        <v>#N/A</v>
      </c>
    </row>
    <row r="368" spans="1:45" s="173" customFormat="1" ht="36" customHeight="1" x14ac:dyDescent="0.9">
      <c r="A368" s="173">
        <v>1</v>
      </c>
      <c r="B368" s="91">
        <f>SUBTOTAL(103,$A$16:A368)</f>
        <v>331</v>
      </c>
      <c r="C368" s="90" t="s">
        <v>1253</v>
      </c>
      <c r="D368" s="185">
        <v>1966</v>
      </c>
      <c r="E368" s="185"/>
      <c r="F368" s="191" t="s">
        <v>293</v>
      </c>
      <c r="G368" s="185">
        <v>2</v>
      </c>
      <c r="H368" s="185">
        <v>2</v>
      </c>
      <c r="I368" s="189">
        <v>1059</v>
      </c>
      <c r="J368" s="189">
        <v>649.9</v>
      </c>
      <c r="K368" s="189">
        <v>649.9</v>
      </c>
      <c r="L368" s="187">
        <v>27</v>
      </c>
      <c r="M368" s="185" t="s">
        <v>271</v>
      </c>
      <c r="N368" s="185" t="s">
        <v>275</v>
      </c>
      <c r="O368" s="188" t="s">
        <v>1358</v>
      </c>
      <c r="P368" s="189">
        <v>1749879.69</v>
      </c>
      <c r="Q368" s="189">
        <v>0</v>
      </c>
      <c r="R368" s="189">
        <v>0</v>
      </c>
      <c r="S368" s="189">
        <f t="shared" si="51"/>
        <v>1749879.69</v>
      </c>
      <c r="T368" s="189">
        <f t="shared" si="45"/>
        <v>1652.3887535410765</v>
      </c>
      <c r="U368" s="189">
        <f>Y368</f>
        <v>2273.6279320113313</v>
      </c>
      <c r="V368" s="170">
        <f t="shared" si="49"/>
        <v>621.23917847025473</v>
      </c>
      <c r="W368" s="170"/>
      <c r="X368" s="170"/>
      <c r="Y368" s="173">
        <f t="shared" si="50"/>
        <v>2273.6279320113313</v>
      </c>
      <c r="AA368" s="173">
        <f t="shared" si="46"/>
        <v>461.1</v>
      </c>
      <c r="AC368" s="173" t="s">
        <v>425</v>
      </c>
      <c r="AD368" s="173">
        <v>1630</v>
      </c>
      <c r="AH368" s="173" t="e">
        <f t="shared" si="47"/>
        <v>#N/A</v>
      </c>
      <c r="AS368" s="173" t="e">
        <f t="shared" si="48"/>
        <v>#N/A</v>
      </c>
    </row>
    <row r="369" spans="1:194" s="173" customFormat="1" ht="36" customHeight="1" x14ac:dyDescent="0.9">
      <c r="A369" s="173">
        <v>1</v>
      </c>
      <c r="B369" s="91">
        <f>SUBTOTAL(103,$A$16:A369)</f>
        <v>332</v>
      </c>
      <c r="C369" s="90" t="s">
        <v>1254</v>
      </c>
      <c r="D369" s="185">
        <v>1987</v>
      </c>
      <c r="E369" s="185"/>
      <c r="F369" s="191" t="s">
        <v>273</v>
      </c>
      <c r="G369" s="185">
        <v>2</v>
      </c>
      <c r="H369" s="185">
        <v>3</v>
      </c>
      <c r="I369" s="189">
        <v>1448.2</v>
      </c>
      <c r="J369" s="189">
        <v>864.2</v>
      </c>
      <c r="K369" s="189">
        <v>864.2</v>
      </c>
      <c r="L369" s="187">
        <v>53</v>
      </c>
      <c r="M369" s="185" t="s">
        <v>271</v>
      </c>
      <c r="N369" s="185" t="s">
        <v>275</v>
      </c>
      <c r="O369" s="188" t="s">
        <v>1359</v>
      </c>
      <c r="P369" s="189">
        <v>1395351.75</v>
      </c>
      <c r="Q369" s="189">
        <v>0</v>
      </c>
      <c r="R369" s="189">
        <v>0</v>
      </c>
      <c r="S369" s="189">
        <f t="shared" si="51"/>
        <v>1395351.75</v>
      </c>
      <c r="T369" s="189">
        <f t="shared" si="45"/>
        <v>963.50763016157987</v>
      </c>
      <c r="U369" s="189">
        <v>3023.77</v>
      </c>
      <c r="V369" s="170">
        <f t="shared" si="49"/>
        <v>2060.26236983842</v>
      </c>
      <c r="W369" s="170"/>
      <c r="X369" s="170"/>
      <c r="Y369" s="173" t="e">
        <f t="shared" si="50"/>
        <v>#N/A</v>
      </c>
      <c r="AA369" s="173" t="e">
        <f t="shared" si="46"/>
        <v>#N/A</v>
      </c>
      <c r="AC369" s="173" t="s">
        <v>426</v>
      </c>
      <c r="AD369" s="173">
        <v>500</v>
      </c>
      <c r="AH369" s="173" t="e">
        <f t="shared" si="47"/>
        <v>#N/A</v>
      </c>
      <c r="AS369" s="173" t="e">
        <f t="shared" si="48"/>
        <v>#N/A</v>
      </c>
    </row>
    <row r="370" spans="1:194" s="173" customFormat="1" ht="36" customHeight="1" x14ac:dyDescent="0.9">
      <c r="A370" s="173">
        <v>1</v>
      </c>
      <c r="B370" s="91">
        <f>SUBTOTAL(103,$A$16:A370)</f>
        <v>333</v>
      </c>
      <c r="C370" s="90" t="s">
        <v>1255</v>
      </c>
      <c r="D370" s="185">
        <v>1978</v>
      </c>
      <c r="E370" s="185"/>
      <c r="F370" s="191" t="s">
        <v>326</v>
      </c>
      <c r="G370" s="185">
        <v>5</v>
      </c>
      <c r="H370" s="185">
        <v>8</v>
      </c>
      <c r="I370" s="189">
        <v>7971.79</v>
      </c>
      <c r="J370" s="189">
        <v>6074.64</v>
      </c>
      <c r="K370" s="189">
        <v>6074.64</v>
      </c>
      <c r="L370" s="187">
        <v>264</v>
      </c>
      <c r="M370" s="185" t="s">
        <v>271</v>
      </c>
      <c r="N370" s="185" t="s">
        <v>275</v>
      </c>
      <c r="O370" s="188" t="s">
        <v>1359</v>
      </c>
      <c r="P370" s="189">
        <v>5506257.7399999993</v>
      </c>
      <c r="Q370" s="189">
        <v>0</v>
      </c>
      <c r="R370" s="189">
        <v>0</v>
      </c>
      <c r="S370" s="189">
        <f t="shared" si="51"/>
        <v>5506257.7399999993</v>
      </c>
      <c r="T370" s="189">
        <f t="shared" si="45"/>
        <v>690.71786135861578</v>
      </c>
      <c r="U370" s="189">
        <f>Y370</f>
        <v>1001.4827309801187</v>
      </c>
      <c r="V370" s="170">
        <f t="shared" si="49"/>
        <v>310.76486962150295</v>
      </c>
      <c r="W370" s="170"/>
      <c r="X370" s="170"/>
      <c r="Y370" s="173">
        <f t="shared" si="50"/>
        <v>1001.4827309801187</v>
      </c>
      <c r="AA370" s="173">
        <f t="shared" si="46"/>
        <v>1528.9</v>
      </c>
      <c r="AC370" s="173" t="s">
        <v>427</v>
      </c>
      <c r="AD370" s="173">
        <v>420</v>
      </c>
      <c r="AH370" s="173" t="e">
        <f t="shared" si="47"/>
        <v>#N/A</v>
      </c>
      <c r="AS370" s="173" t="e">
        <f t="shared" si="48"/>
        <v>#N/A</v>
      </c>
    </row>
    <row r="371" spans="1:194" s="173" customFormat="1" ht="36" customHeight="1" x14ac:dyDescent="0.9">
      <c r="A371" s="173">
        <v>1</v>
      </c>
      <c r="B371" s="91">
        <f>SUBTOTAL(103,$A$16:A371)</f>
        <v>334</v>
      </c>
      <c r="C371" s="90" t="s">
        <v>1603</v>
      </c>
      <c r="D371" s="185">
        <v>1977</v>
      </c>
      <c r="E371" s="185"/>
      <c r="F371" s="191" t="s">
        <v>1620</v>
      </c>
      <c r="G371" s="185">
        <v>2</v>
      </c>
      <c r="H371" s="185">
        <v>3</v>
      </c>
      <c r="I371" s="189">
        <v>982.4</v>
      </c>
      <c r="J371" s="189">
        <v>564.1</v>
      </c>
      <c r="K371" s="189">
        <f>J371-49.9</f>
        <v>514.20000000000005</v>
      </c>
      <c r="L371" s="187">
        <v>46</v>
      </c>
      <c r="M371" s="185" t="s">
        <v>271</v>
      </c>
      <c r="N371" s="185" t="s">
        <v>275</v>
      </c>
      <c r="O371" s="188" t="s">
        <v>1627</v>
      </c>
      <c r="P371" s="189">
        <v>4498868.8</v>
      </c>
      <c r="Q371" s="189">
        <v>0</v>
      </c>
      <c r="R371" s="189">
        <v>0</v>
      </c>
      <c r="S371" s="189">
        <f>P371-R371-Q371</f>
        <v>4498868.8</v>
      </c>
      <c r="T371" s="189">
        <f t="shared" si="45"/>
        <v>4579.4674267100972</v>
      </c>
      <c r="U371" s="189">
        <f>Y371</f>
        <v>4624.3546416938116</v>
      </c>
      <c r="V371" s="170">
        <f t="shared" si="49"/>
        <v>44.88721498371433</v>
      </c>
      <c r="W371" s="170"/>
      <c r="X371" s="170"/>
      <c r="Y371" s="173">
        <f t="shared" si="50"/>
        <v>4624.3546416938116</v>
      </c>
      <c r="AA371" s="173">
        <f t="shared" si="46"/>
        <v>870</v>
      </c>
      <c r="AC371" s="173" t="s">
        <v>206</v>
      </c>
      <c r="AD371" s="173">
        <v>700</v>
      </c>
      <c r="AH371" s="173" t="e">
        <f t="shared" si="47"/>
        <v>#N/A</v>
      </c>
      <c r="AS371" s="173" t="e">
        <f t="shared" si="48"/>
        <v>#N/A</v>
      </c>
    </row>
    <row r="372" spans="1:194" s="142" customFormat="1" ht="36" customHeight="1" x14ac:dyDescent="0.9">
      <c r="A372" s="173">
        <v>1</v>
      </c>
      <c r="B372" s="91">
        <f>SUBTOTAL(103,$A$16:A372)</f>
        <v>335</v>
      </c>
      <c r="C372" s="201" t="s">
        <v>136</v>
      </c>
      <c r="D372" s="196">
        <v>1976</v>
      </c>
      <c r="E372" s="196"/>
      <c r="F372" s="197" t="s">
        <v>293</v>
      </c>
      <c r="G372" s="196">
        <v>5</v>
      </c>
      <c r="H372" s="196">
        <v>6</v>
      </c>
      <c r="I372" s="198">
        <v>6117.57</v>
      </c>
      <c r="J372" s="198">
        <v>4610</v>
      </c>
      <c r="K372" s="198">
        <v>4610</v>
      </c>
      <c r="L372" s="199">
        <v>166</v>
      </c>
      <c r="M372" s="196" t="s">
        <v>271</v>
      </c>
      <c r="N372" s="196" t="s">
        <v>275</v>
      </c>
      <c r="O372" s="196" t="s">
        <v>291</v>
      </c>
      <c r="P372" s="186">
        <v>4978221.0999999996</v>
      </c>
      <c r="Q372" s="186">
        <v>0</v>
      </c>
      <c r="R372" s="186">
        <v>0</v>
      </c>
      <c r="S372" s="186">
        <f>P372-Q372-R372</f>
        <v>4978221.0999999996</v>
      </c>
      <c r="T372" s="189">
        <f t="shared" si="45"/>
        <v>813.75793002777243</v>
      </c>
      <c r="U372" s="189">
        <f>Y372</f>
        <v>1049.8109249260738</v>
      </c>
      <c r="V372" s="170">
        <f t="shared" si="49"/>
        <v>236.05299489830134</v>
      </c>
      <c r="W372" s="170"/>
      <c r="X372" s="170"/>
      <c r="Y372" s="173">
        <f t="shared" si="50"/>
        <v>1049.8109249260738</v>
      </c>
      <c r="AA372" s="173">
        <f t="shared" si="46"/>
        <v>1229.9000000000001</v>
      </c>
      <c r="AC372" s="142" t="s">
        <v>208</v>
      </c>
      <c r="AD372" s="142">
        <v>695</v>
      </c>
      <c r="AH372" s="173" t="e">
        <f t="shared" si="47"/>
        <v>#N/A</v>
      </c>
      <c r="AS372" s="173" t="e">
        <f t="shared" si="48"/>
        <v>#N/A</v>
      </c>
      <c r="DT372" s="144"/>
      <c r="DU372" s="144"/>
      <c r="DV372" s="144"/>
      <c r="EJ372" s="145"/>
      <c r="ES372" s="146"/>
      <c r="FV372" s="147"/>
      <c r="GL372" s="148"/>
    </row>
    <row r="373" spans="1:194" s="173" customFormat="1" ht="36" customHeight="1" x14ac:dyDescent="0.9">
      <c r="B373" s="90" t="s">
        <v>857</v>
      </c>
      <c r="C373" s="90"/>
      <c r="D373" s="185" t="s">
        <v>915</v>
      </c>
      <c r="E373" s="185" t="s">
        <v>915</v>
      </c>
      <c r="F373" s="185" t="s">
        <v>915</v>
      </c>
      <c r="G373" s="185" t="s">
        <v>915</v>
      </c>
      <c r="H373" s="185" t="s">
        <v>915</v>
      </c>
      <c r="I373" s="186">
        <f>SUM(I374:I375)</f>
        <v>2529.2999999999997</v>
      </c>
      <c r="J373" s="186">
        <f>SUM(J374:J375)</f>
        <v>2495.1999999999998</v>
      </c>
      <c r="K373" s="186">
        <f>SUM(K374:K375)</f>
        <v>1873.5</v>
      </c>
      <c r="L373" s="187">
        <f>SUM(L374:L375)</f>
        <v>114</v>
      </c>
      <c r="M373" s="185" t="s">
        <v>915</v>
      </c>
      <c r="N373" s="185" t="s">
        <v>915</v>
      </c>
      <c r="O373" s="188" t="s">
        <v>915</v>
      </c>
      <c r="P373" s="189">
        <v>2913286.51</v>
      </c>
      <c r="Q373" s="189">
        <f>SUM(Q374:Q375)</f>
        <v>0</v>
      </c>
      <c r="R373" s="189">
        <f>SUM(R374:R375)</f>
        <v>0</v>
      </c>
      <c r="S373" s="189">
        <f>SUM(S374:S375)</f>
        <v>2913286.51</v>
      </c>
      <c r="T373" s="189">
        <f t="shared" si="45"/>
        <v>1151.8153283517179</v>
      </c>
      <c r="U373" s="189">
        <f>MAX(U374:U375)</f>
        <v>1338.092432278841</v>
      </c>
      <c r="V373" s="170">
        <f t="shared" si="49"/>
        <v>186.27710392712311</v>
      </c>
      <c r="W373" s="170"/>
      <c r="X373" s="170"/>
      <c r="Y373" s="173" t="e">
        <f t="shared" si="50"/>
        <v>#N/A</v>
      </c>
      <c r="AA373" s="173" t="e">
        <f t="shared" si="46"/>
        <v>#N/A</v>
      </c>
      <c r="AC373" s="173" t="s">
        <v>207</v>
      </c>
      <c r="AD373" s="173">
        <v>666</v>
      </c>
      <c r="AH373" s="173" t="e">
        <f t="shared" si="47"/>
        <v>#N/A</v>
      </c>
      <c r="AS373" s="173" t="e">
        <f t="shared" si="48"/>
        <v>#N/A</v>
      </c>
    </row>
    <row r="374" spans="1:194" s="173" customFormat="1" ht="36" customHeight="1" x14ac:dyDescent="0.9">
      <c r="A374" s="173">
        <v>1</v>
      </c>
      <c r="B374" s="91">
        <f>SUBTOTAL(103,$A$16:A374)</f>
        <v>336</v>
      </c>
      <c r="C374" s="90" t="s">
        <v>121</v>
      </c>
      <c r="D374" s="185">
        <v>1984</v>
      </c>
      <c r="E374" s="185"/>
      <c r="F374" s="191" t="s">
        <v>293</v>
      </c>
      <c r="G374" s="185">
        <v>5</v>
      </c>
      <c r="H374" s="185">
        <v>3</v>
      </c>
      <c r="I374" s="189">
        <v>2111.6</v>
      </c>
      <c r="J374" s="189">
        <v>2111.6</v>
      </c>
      <c r="K374" s="189">
        <v>1535.5</v>
      </c>
      <c r="L374" s="187">
        <v>91</v>
      </c>
      <c r="M374" s="185" t="s">
        <v>271</v>
      </c>
      <c r="N374" s="185" t="s">
        <v>275</v>
      </c>
      <c r="O374" s="188" t="s">
        <v>292</v>
      </c>
      <c r="P374" s="189">
        <v>2379404.19</v>
      </c>
      <c r="Q374" s="189">
        <v>0</v>
      </c>
      <c r="R374" s="189">
        <v>0</v>
      </c>
      <c r="S374" s="189">
        <f>P374-Q374-R374</f>
        <v>2379404.19</v>
      </c>
      <c r="T374" s="189">
        <f t="shared" si="45"/>
        <v>1126.8252462587611</v>
      </c>
      <c r="U374" s="189">
        <f>Y374</f>
        <v>1338.092432278841</v>
      </c>
      <c r="V374" s="170">
        <f t="shared" si="49"/>
        <v>211.26718602007986</v>
      </c>
      <c r="W374" s="170"/>
      <c r="X374" s="170"/>
      <c r="Y374" s="173">
        <f t="shared" si="50"/>
        <v>1338.092432278841</v>
      </c>
      <c r="AA374" s="173">
        <f t="shared" si="46"/>
        <v>541.1</v>
      </c>
      <c r="AC374" s="173" t="s">
        <v>428</v>
      </c>
      <c r="AD374" s="173">
        <v>825</v>
      </c>
      <c r="AH374" s="173" t="e">
        <f t="shared" si="47"/>
        <v>#N/A</v>
      </c>
      <c r="AS374" s="173" t="e">
        <f t="shared" si="48"/>
        <v>#N/A</v>
      </c>
    </row>
    <row r="375" spans="1:194" s="173" customFormat="1" ht="36" customHeight="1" x14ac:dyDescent="0.9">
      <c r="A375" s="173">
        <v>1</v>
      </c>
      <c r="B375" s="91">
        <f>SUBTOTAL(103,$A$16:A375)</f>
        <v>337</v>
      </c>
      <c r="C375" s="90" t="s">
        <v>1256</v>
      </c>
      <c r="D375" s="185">
        <v>1987</v>
      </c>
      <c r="E375" s="185"/>
      <c r="F375" s="191" t="s">
        <v>273</v>
      </c>
      <c r="G375" s="185">
        <v>2</v>
      </c>
      <c r="H375" s="185">
        <v>1</v>
      </c>
      <c r="I375" s="189">
        <v>417.7</v>
      </c>
      <c r="J375" s="189">
        <v>383.6</v>
      </c>
      <c r="K375" s="189">
        <v>338</v>
      </c>
      <c r="L375" s="187">
        <v>23</v>
      </c>
      <c r="M375" s="185" t="s">
        <v>271</v>
      </c>
      <c r="N375" s="185" t="s">
        <v>272</v>
      </c>
      <c r="O375" s="188" t="s">
        <v>274</v>
      </c>
      <c r="P375" s="189">
        <v>533882.32000000007</v>
      </c>
      <c r="Q375" s="189">
        <v>0</v>
      </c>
      <c r="R375" s="189">
        <v>0</v>
      </c>
      <c r="S375" s="189">
        <f>P375-Q375-R375</f>
        <v>533882.32000000007</v>
      </c>
      <c r="T375" s="189">
        <f t="shared" si="45"/>
        <v>1278.1477615513529</v>
      </c>
      <c r="U375" s="189">
        <v>1278.1477615513525</v>
      </c>
      <c r="V375" s="170">
        <f t="shared" si="49"/>
        <v>0</v>
      </c>
      <c r="W375" s="170"/>
      <c r="X375" s="170"/>
      <c r="Y375" s="173" t="e">
        <f t="shared" si="50"/>
        <v>#N/A</v>
      </c>
      <c r="AA375" s="173" t="e">
        <f t="shared" si="46"/>
        <v>#N/A</v>
      </c>
      <c r="AC375" s="173" t="s">
        <v>429</v>
      </c>
      <c r="AD375" s="173">
        <v>365</v>
      </c>
      <c r="AH375" s="173" t="e">
        <f t="shared" si="47"/>
        <v>#N/A</v>
      </c>
      <c r="AS375" s="173" t="e">
        <f t="shared" si="48"/>
        <v>#N/A</v>
      </c>
    </row>
    <row r="376" spans="1:194" s="173" customFormat="1" ht="36" customHeight="1" x14ac:dyDescent="0.9">
      <c r="B376" s="90" t="s">
        <v>916</v>
      </c>
      <c r="C376" s="90"/>
      <c r="D376" s="185" t="s">
        <v>915</v>
      </c>
      <c r="E376" s="185" t="s">
        <v>915</v>
      </c>
      <c r="F376" s="185" t="s">
        <v>915</v>
      </c>
      <c r="G376" s="185" t="s">
        <v>915</v>
      </c>
      <c r="H376" s="185" t="s">
        <v>915</v>
      </c>
      <c r="I376" s="186">
        <f>I377</f>
        <v>375</v>
      </c>
      <c r="J376" s="186">
        <f>J377</f>
        <v>310.39999999999998</v>
      </c>
      <c r="K376" s="186">
        <f>K377</f>
        <v>203</v>
      </c>
      <c r="L376" s="187">
        <f>L377</f>
        <v>14</v>
      </c>
      <c r="M376" s="185" t="s">
        <v>915</v>
      </c>
      <c r="N376" s="185" t="s">
        <v>915</v>
      </c>
      <c r="O376" s="188" t="s">
        <v>915</v>
      </c>
      <c r="P376" s="189">
        <v>2727875.44</v>
      </c>
      <c r="Q376" s="189">
        <f>Q377</f>
        <v>0</v>
      </c>
      <c r="R376" s="189">
        <f>R377</f>
        <v>0</v>
      </c>
      <c r="S376" s="189">
        <f>S377</f>
        <v>2727875.44</v>
      </c>
      <c r="T376" s="189">
        <f t="shared" si="45"/>
        <v>7274.3345066666661</v>
      </c>
      <c r="U376" s="189">
        <f>U377</f>
        <v>11672.060369690724</v>
      </c>
      <c r="V376" s="170">
        <f t="shared" si="49"/>
        <v>4397.7258630240576</v>
      </c>
      <c r="W376" s="170"/>
      <c r="X376" s="170"/>
      <c r="Y376" s="173" t="e">
        <f t="shared" si="50"/>
        <v>#N/A</v>
      </c>
      <c r="AA376" s="173" t="e">
        <f t="shared" si="46"/>
        <v>#N/A</v>
      </c>
      <c r="AC376" s="173" t="s">
        <v>431</v>
      </c>
      <c r="AD376" s="173">
        <v>600</v>
      </c>
      <c r="AH376" s="173" t="e">
        <f t="shared" si="47"/>
        <v>#N/A</v>
      </c>
      <c r="AS376" s="173" t="e">
        <f t="shared" si="48"/>
        <v>#N/A</v>
      </c>
    </row>
    <row r="377" spans="1:194" s="173" customFormat="1" ht="36" customHeight="1" x14ac:dyDescent="0.9">
      <c r="A377" s="173">
        <v>1</v>
      </c>
      <c r="B377" s="91">
        <f>SUBTOTAL(103,$A$16:A377)</f>
        <v>338</v>
      </c>
      <c r="C377" s="90" t="s">
        <v>122</v>
      </c>
      <c r="D377" s="185">
        <v>1966</v>
      </c>
      <c r="E377" s="185"/>
      <c r="F377" s="191" t="s">
        <v>273</v>
      </c>
      <c r="G377" s="185">
        <v>2</v>
      </c>
      <c r="H377" s="185">
        <v>1</v>
      </c>
      <c r="I377" s="189">
        <v>375</v>
      </c>
      <c r="J377" s="189">
        <v>310.39999999999998</v>
      </c>
      <c r="K377" s="189">
        <v>203</v>
      </c>
      <c r="L377" s="187">
        <v>14</v>
      </c>
      <c r="M377" s="185" t="s">
        <v>271</v>
      </c>
      <c r="N377" s="185" t="s">
        <v>272</v>
      </c>
      <c r="O377" s="188" t="s">
        <v>274</v>
      </c>
      <c r="P377" s="189">
        <v>2727875.44</v>
      </c>
      <c r="Q377" s="189">
        <v>0</v>
      </c>
      <c r="R377" s="189">
        <v>0</v>
      </c>
      <c r="S377" s="189">
        <f>P377-Q377-R377</f>
        <v>2727875.44</v>
      </c>
      <c r="T377" s="189">
        <f t="shared" si="45"/>
        <v>7274.3345066666661</v>
      </c>
      <c r="U377" s="189">
        <f>Y377+AG377</f>
        <v>11672.060369690724</v>
      </c>
      <c r="V377" s="170">
        <f t="shared" si="49"/>
        <v>4397.7258630240576</v>
      </c>
      <c r="W377" s="170"/>
      <c r="X377" s="170"/>
      <c r="Y377" s="173">
        <f t="shared" si="50"/>
        <v>4359.8548799999999</v>
      </c>
      <c r="AA377" s="173">
        <f t="shared" si="46"/>
        <v>313.10000000000002</v>
      </c>
      <c r="AC377" s="173" t="s">
        <v>432</v>
      </c>
      <c r="AD377" s="173">
        <v>462</v>
      </c>
      <c r="AG377" s="173">
        <f>AH377*6191.24/J377</f>
        <v>7312.205489690723</v>
      </c>
      <c r="AH377" s="173">
        <f t="shared" si="47"/>
        <v>366.6</v>
      </c>
      <c r="AS377" s="173" t="e">
        <f t="shared" si="48"/>
        <v>#N/A</v>
      </c>
    </row>
    <row r="378" spans="1:194" s="173" customFormat="1" ht="36" customHeight="1" x14ac:dyDescent="0.9">
      <c r="B378" s="90" t="s">
        <v>858</v>
      </c>
      <c r="C378" s="90"/>
      <c r="D378" s="185" t="s">
        <v>915</v>
      </c>
      <c r="E378" s="185" t="s">
        <v>915</v>
      </c>
      <c r="F378" s="185" t="s">
        <v>915</v>
      </c>
      <c r="G378" s="185" t="s">
        <v>915</v>
      </c>
      <c r="H378" s="185" t="s">
        <v>915</v>
      </c>
      <c r="I378" s="186">
        <f>I379</f>
        <v>1156.21</v>
      </c>
      <c r="J378" s="186">
        <f>J379</f>
        <v>880.01</v>
      </c>
      <c r="K378" s="186">
        <f>K379</f>
        <v>880.01</v>
      </c>
      <c r="L378" s="187">
        <f>L379</f>
        <v>34</v>
      </c>
      <c r="M378" s="185" t="s">
        <v>915</v>
      </c>
      <c r="N378" s="185" t="s">
        <v>915</v>
      </c>
      <c r="O378" s="188" t="s">
        <v>915</v>
      </c>
      <c r="P378" s="189">
        <v>3866903.76</v>
      </c>
      <c r="Q378" s="189">
        <f>Q379</f>
        <v>0</v>
      </c>
      <c r="R378" s="189">
        <f>R379</f>
        <v>0</v>
      </c>
      <c r="S378" s="189">
        <f>S379</f>
        <v>3866903.76</v>
      </c>
      <c r="T378" s="189">
        <f t="shared" si="45"/>
        <v>3344.4648982451281</v>
      </c>
      <c r="U378" s="189">
        <f>T378</f>
        <v>3344.4648982451281</v>
      </c>
      <c r="V378" s="170">
        <f t="shared" si="49"/>
        <v>0</v>
      </c>
      <c r="W378" s="170"/>
      <c r="X378" s="170"/>
      <c r="Y378" s="173" t="e">
        <f t="shared" si="50"/>
        <v>#N/A</v>
      </c>
      <c r="AA378" s="173" t="e">
        <f t="shared" si="46"/>
        <v>#N/A</v>
      </c>
      <c r="AC378" s="173" t="s">
        <v>1669</v>
      </c>
      <c r="AD378" s="173">
        <v>911</v>
      </c>
      <c r="AH378" s="173" t="e">
        <f t="shared" si="47"/>
        <v>#N/A</v>
      </c>
      <c r="AS378" s="173" t="e">
        <f t="shared" si="48"/>
        <v>#N/A</v>
      </c>
    </row>
    <row r="379" spans="1:194" s="173" customFormat="1" ht="36" customHeight="1" x14ac:dyDescent="0.9">
      <c r="A379" s="173">
        <v>1</v>
      </c>
      <c r="B379" s="91">
        <f>SUBTOTAL(103,$A$16:A379)</f>
        <v>339</v>
      </c>
      <c r="C379" s="90" t="s">
        <v>123</v>
      </c>
      <c r="D379" s="185">
        <v>1990</v>
      </c>
      <c r="E379" s="185"/>
      <c r="F379" s="191" t="s">
        <v>273</v>
      </c>
      <c r="G379" s="185">
        <v>2</v>
      </c>
      <c r="H379" s="185">
        <v>3</v>
      </c>
      <c r="I379" s="189">
        <v>1156.21</v>
      </c>
      <c r="J379" s="189">
        <v>880.01</v>
      </c>
      <c r="K379" s="189">
        <v>880.01</v>
      </c>
      <c r="L379" s="187">
        <v>34</v>
      </c>
      <c r="M379" s="185" t="s">
        <v>271</v>
      </c>
      <c r="N379" s="185" t="s">
        <v>272</v>
      </c>
      <c r="O379" s="188" t="s">
        <v>274</v>
      </c>
      <c r="P379" s="189">
        <v>3866903.76</v>
      </c>
      <c r="Q379" s="189">
        <v>0</v>
      </c>
      <c r="R379" s="189">
        <v>0</v>
      </c>
      <c r="S379" s="189">
        <f>P379-Q379-R379</f>
        <v>3866903.76</v>
      </c>
      <c r="T379" s="189">
        <f t="shared" si="45"/>
        <v>3344.4648982451281</v>
      </c>
      <c r="U379" s="189">
        <f>T379</f>
        <v>3344.4648982451281</v>
      </c>
      <c r="V379" s="170">
        <f t="shared" si="49"/>
        <v>0</v>
      </c>
      <c r="W379" s="170"/>
      <c r="X379" s="170"/>
      <c r="Y379" s="173">
        <f t="shared" si="50"/>
        <v>3076.9151987960663</v>
      </c>
      <c r="AA379" s="173">
        <f t="shared" si="46"/>
        <v>681.29</v>
      </c>
      <c r="AC379" s="173" t="s">
        <v>1700</v>
      </c>
      <c r="AD379" s="173">
        <v>846</v>
      </c>
      <c r="AH379" s="173" t="e">
        <f t="shared" si="47"/>
        <v>#N/A</v>
      </c>
      <c r="AS379" s="173" t="e">
        <f t="shared" si="48"/>
        <v>#N/A</v>
      </c>
    </row>
    <row r="380" spans="1:194" s="173" customFormat="1" ht="36" customHeight="1" x14ac:dyDescent="0.9">
      <c r="B380" s="90" t="s">
        <v>859</v>
      </c>
      <c r="C380" s="192"/>
      <c r="D380" s="185" t="s">
        <v>915</v>
      </c>
      <c r="E380" s="185" t="s">
        <v>915</v>
      </c>
      <c r="F380" s="185" t="s">
        <v>915</v>
      </c>
      <c r="G380" s="185" t="s">
        <v>915</v>
      </c>
      <c r="H380" s="185" t="s">
        <v>915</v>
      </c>
      <c r="I380" s="186">
        <f>SUM(I381:I384)</f>
        <v>2599.7999999999997</v>
      </c>
      <c r="J380" s="186">
        <f>SUM(J381:J384)</f>
        <v>2293.7000000000003</v>
      </c>
      <c r="K380" s="186">
        <f>SUM(K381:K384)</f>
        <v>2259.4</v>
      </c>
      <c r="L380" s="187">
        <f>SUM(L381:L384)</f>
        <v>115</v>
      </c>
      <c r="M380" s="185" t="s">
        <v>915</v>
      </c>
      <c r="N380" s="185" t="s">
        <v>915</v>
      </c>
      <c r="O380" s="188" t="s">
        <v>915</v>
      </c>
      <c r="P380" s="186">
        <v>11324422.879999999</v>
      </c>
      <c r="Q380" s="186">
        <f>SUM(Q381:Q384)</f>
        <v>0</v>
      </c>
      <c r="R380" s="186">
        <f>SUM(R381:R384)</f>
        <v>0</v>
      </c>
      <c r="S380" s="186">
        <f>SUM(S381:S384)</f>
        <v>11324422.879999999</v>
      </c>
      <c r="T380" s="189">
        <f t="shared" si="45"/>
        <v>4355.8823294099548</v>
      </c>
      <c r="U380" s="189">
        <f>MAX(U381:U384)</f>
        <v>6847.1586480635078</v>
      </c>
      <c r="V380" s="170">
        <f t="shared" si="49"/>
        <v>2491.2763186535531</v>
      </c>
      <c r="W380" s="170"/>
      <c r="X380" s="170"/>
      <c r="Y380" s="173" t="e">
        <f t="shared" si="50"/>
        <v>#N/A</v>
      </c>
      <c r="AA380" s="173" t="e">
        <f t="shared" si="46"/>
        <v>#N/A</v>
      </c>
      <c r="AC380" s="173" t="s">
        <v>1701</v>
      </c>
      <c r="AD380" s="173">
        <v>600</v>
      </c>
      <c r="AH380" s="173" t="e">
        <f t="shared" si="47"/>
        <v>#N/A</v>
      </c>
      <c r="AS380" s="173" t="e">
        <f t="shared" si="48"/>
        <v>#N/A</v>
      </c>
    </row>
    <row r="381" spans="1:194" s="173" customFormat="1" ht="36" customHeight="1" x14ac:dyDescent="0.9">
      <c r="A381" s="173">
        <v>1</v>
      </c>
      <c r="B381" s="91">
        <f>SUBTOTAL(103,$A$16:A381)</f>
        <v>340</v>
      </c>
      <c r="C381" s="90" t="s">
        <v>174</v>
      </c>
      <c r="D381" s="185">
        <v>1957</v>
      </c>
      <c r="E381" s="185"/>
      <c r="F381" s="191" t="s">
        <v>273</v>
      </c>
      <c r="G381" s="185">
        <v>2</v>
      </c>
      <c r="H381" s="185">
        <v>2</v>
      </c>
      <c r="I381" s="189">
        <v>765.1</v>
      </c>
      <c r="J381" s="189">
        <v>686.7</v>
      </c>
      <c r="K381" s="189">
        <v>686.7</v>
      </c>
      <c r="L381" s="187">
        <v>26</v>
      </c>
      <c r="M381" s="185" t="s">
        <v>271</v>
      </c>
      <c r="N381" s="185" t="s">
        <v>345</v>
      </c>
      <c r="O381" s="188" t="s">
        <v>1025</v>
      </c>
      <c r="P381" s="189">
        <v>2356525.59</v>
      </c>
      <c r="Q381" s="189">
        <v>0</v>
      </c>
      <c r="R381" s="189">
        <v>0</v>
      </c>
      <c r="S381" s="189">
        <f>P381-Q381-R381</f>
        <v>2356525.59</v>
      </c>
      <c r="T381" s="189">
        <f t="shared" si="45"/>
        <v>3080.0229904587632</v>
      </c>
      <c r="U381" s="189">
        <f>Y381</f>
        <v>4629.3908508691675</v>
      </c>
      <c r="V381" s="170">
        <f t="shared" si="49"/>
        <v>1549.3678604104043</v>
      </c>
      <c r="W381" s="170"/>
      <c r="X381" s="170"/>
      <c r="Y381" s="173">
        <f t="shared" si="50"/>
        <v>4629.3908508691675</v>
      </c>
      <c r="AA381" s="173">
        <f t="shared" si="46"/>
        <v>678.3</v>
      </c>
      <c r="AC381" s="173" t="s">
        <v>798</v>
      </c>
      <c r="AD381" s="173">
        <v>690</v>
      </c>
      <c r="AH381" s="173" t="e">
        <f t="shared" si="47"/>
        <v>#N/A</v>
      </c>
      <c r="AS381" s="173" t="e">
        <f t="shared" si="48"/>
        <v>#N/A</v>
      </c>
    </row>
    <row r="382" spans="1:194" s="173" customFormat="1" ht="36" customHeight="1" x14ac:dyDescent="0.9">
      <c r="A382" s="173">
        <v>1</v>
      </c>
      <c r="B382" s="91">
        <f>SUBTOTAL(103,$A$16:A382)</f>
        <v>341</v>
      </c>
      <c r="C382" s="90" t="s">
        <v>175</v>
      </c>
      <c r="D382" s="185">
        <v>1957</v>
      </c>
      <c r="E382" s="185"/>
      <c r="F382" s="191" t="s">
        <v>273</v>
      </c>
      <c r="G382" s="185">
        <v>2</v>
      </c>
      <c r="H382" s="185">
        <v>2</v>
      </c>
      <c r="I382" s="189">
        <v>415.7</v>
      </c>
      <c r="J382" s="189">
        <v>368.1</v>
      </c>
      <c r="K382" s="189">
        <v>368.1</v>
      </c>
      <c r="L382" s="187">
        <v>23</v>
      </c>
      <c r="M382" s="185" t="s">
        <v>271</v>
      </c>
      <c r="N382" s="185" t="s">
        <v>345</v>
      </c>
      <c r="O382" s="188" t="s">
        <v>835</v>
      </c>
      <c r="P382" s="189">
        <v>2846363.85</v>
      </c>
      <c r="Q382" s="189">
        <v>0</v>
      </c>
      <c r="R382" s="189">
        <v>0</v>
      </c>
      <c r="S382" s="189">
        <f>P382-Q382-R382</f>
        <v>2846363.85</v>
      </c>
      <c r="T382" s="189">
        <f t="shared" si="45"/>
        <v>6847.1586480635078</v>
      </c>
      <c r="U382" s="189">
        <f>T382</f>
        <v>6847.1586480635078</v>
      </c>
      <c r="V382" s="170">
        <f t="shared" si="49"/>
        <v>0</v>
      </c>
      <c r="W382" s="170"/>
      <c r="X382" s="170"/>
      <c r="Y382" s="173" t="e">
        <f t="shared" si="50"/>
        <v>#N/A</v>
      </c>
      <c r="AA382" s="173" t="e">
        <f t="shared" si="46"/>
        <v>#N/A</v>
      </c>
      <c r="AC382" s="173" t="s">
        <v>1103</v>
      </c>
      <c r="AD382" s="173">
        <v>590</v>
      </c>
      <c r="AG382" s="173">
        <f>AH382*6191.24/J382</f>
        <v>5651.3356153219229</v>
      </c>
      <c r="AH382" s="173">
        <f t="shared" si="47"/>
        <v>336</v>
      </c>
      <c r="AS382" s="173" t="e">
        <f t="shared" si="48"/>
        <v>#N/A</v>
      </c>
    </row>
    <row r="383" spans="1:194" s="173" customFormat="1" ht="36" customHeight="1" x14ac:dyDescent="0.9">
      <c r="A383" s="173">
        <v>1</v>
      </c>
      <c r="B383" s="91">
        <f>SUBTOTAL(103,$A$16:A383)</f>
        <v>342</v>
      </c>
      <c r="C383" s="90" t="s">
        <v>173</v>
      </c>
      <c r="D383" s="185">
        <v>1983</v>
      </c>
      <c r="E383" s="185"/>
      <c r="F383" s="191" t="s">
        <v>273</v>
      </c>
      <c r="G383" s="185">
        <v>2</v>
      </c>
      <c r="H383" s="185">
        <v>3</v>
      </c>
      <c r="I383" s="189">
        <v>1093.4000000000001</v>
      </c>
      <c r="J383" s="189">
        <v>943.9</v>
      </c>
      <c r="K383" s="189">
        <v>943.9</v>
      </c>
      <c r="L383" s="187">
        <v>45</v>
      </c>
      <c r="M383" s="185" t="s">
        <v>271</v>
      </c>
      <c r="N383" s="185" t="s">
        <v>345</v>
      </c>
      <c r="O383" s="188" t="s">
        <v>835</v>
      </c>
      <c r="P383" s="189">
        <v>4867698.0199999996</v>
      </c>
      <c r="Q383" s="189">
        <v>0</v>
      </c>
      <c r="R383" s="189">
        <v>0</v>
      </c>
      <c r="S383" s="189">
        <f>P383-Q383-R383</f>
        <v>4867698.0199999996</v>
      </c>
      <c r="T383" s="189">
        <f t="shared" si="45"/>
        <v>4451.8913663800977</v>
      </c>
      <c r="U383" s="189">
        <v>4451.8913663800977</v>
      </c>
      <c r="V383" s="170">
        <f t="shared" si="49"/>
        <v>0</v>
      </c>
      <c r="W383" s="170"/>
      <c r="X383" s="170"/>
      <c r="Y383" s="173" t="e">
        <f t="shared" si="50"/>
        <v>#N/A</v>
      </c>
      <c r="AA383" s="173" t="e">
        <f t="shared" si="46"/>
        <v>#N/A</v>
      </c>
      <c r="AC383" s="173" t="s">
        <v>803</v>
      </c>
      <c r="AD383" s="173">
        <v>1154</v>
      </c>
      <c r="AH383" s="173" t="e">
        <f t="shared" si="47"/>
        <v>#N/A</v>
      </c>
      <c r="AS383" s="173" t="e">
        <f t="shared" si="48"/>
        <v>#N/A</v>
      </c>
    </row>
    <row r="384" spans="1:194" s="173" customFormat="1" ht="36" customHeight="1" x14ac:dyDescent="0.9">
      <c r="A384" s="173">
        <v>1</v>
      </c>
      <c r="B384" s="91">
        <f>SUBTOTAL(103,$A$16:A384)</f>
        <v>343</v>
      </c>
      <c r="C384" s="90" t="s">
        <v>1618</v>
      </c>
      <c r="D384" s="185">
        <v>1967</v>
      </c>
      <c r="E384" s="185"/>
      <c r="F384" s="191" t="s">
        <v>1620</v>
      </c>
      <c r="G384" s="185">
        <v>2</v>
      </c>
      <c r="H384" s="185">
        <v>1</v>
      </c>
      <c r="I384" s="189">
        <v>325.60000000000002</v>
      </c>
      <c r="J384" s="189">
        <v>295</v>
      </c>
      <c r="K384" s="189">
        <f>J384-34.3</f>
        <v>260.7</v>
      </c>
      <c r="L384" s="187">
        <v>21</v>
      </c>
      <c r="M384" s="185" t="s">
        <v>271</v>
      </c>
      <c r="N384" s="185" t="s">
        <v>345</v>
      </c>
      <c r="O384" s="188" t="s">
        <v>835</v>
      </c>
      <c r="P384" s="189">
        <v>1253835.42</v>
      </c>
      <c r="Q384" s="189">
        <v>0</v>
      </c>
      <c r="R384" s="189">
        <v>0</v>
      </c>
      <c r="S384" s="189">
        <f>P384-R384-Q384</f>
        <v>1253835.42</v>
      </c>
      <c r="T384" s="189">
        <f t="shared" si="45"/>
        <v>3850.8458845208838</v>
      </c>
      <c r="U384" s="189">
        <f>T384</f>
        <v>3850.8458845208838</v>
      </c>
      <c r="V384" s="170">
        <f t="shared" si="49"/>
        <v>0</v>
      </c>
      <c r="W384" s="170"/>
      <c r="X384" s="170"/>
      <c r="Y384" s="173">
        <f t="shared" si="50"/>
        <v>2758.4447174447173</v>
      </c>
      <c r="AA384" s="173">
        <f t="shared" si="46"/>
        <v>172</v>
      </c>
      <c r="AC384" s="173" t="s">
        <v>1648</v>
      </c>
      <c r="AD384" s="173">
        <v>778</v>
      </c>
      <c r="AH384" s="173" t="e">
        <f t="shared" si="47"/>
        <v>#N/A</v>
      </c>
      <c r="AS384" s="173" t="e">
        <f t="shared" si="48"/>
        <v>#N/A</v>
      </c>
    </row>
    <row r="385" spans="1:45" s="173" customFormat="1" ht="36" customHeight="1" x14ac:dyDescent="0.9">
      <c r="B385" s="90" t="s">
        <v>860</v>
      </c>
      <c r="C385" s="90"/>
      <c r="D385" s="185" t="s">
        <v>915</v>
      </c>
      <c r="E385" s="185" t="s">
        <v>915</v>
      </c>
      <c r="F385" s="185" t="s">
        <v>915</v>
      </c>
      <c r="G385" s="185" t="s">
        <v>915</v>
      </c>
      <c r="H385" s="185" t="s">
        <v>915</v>
      </c>
      <c r="I385" s="186">
        <f>SUM(I386:I387)</f>
        <v>1157</v>
      </c>
      <c r="J385" s="186">
        <f>SUM(J386:J387)</f>
        <v>1036</v>
      </c>
      <c r="K385" s="186">
        <f>SUM(K386:K387)</f>
        <v>991</v>
      </c>
      <c r="L385" s="187">
        <f>SUM(L386:L387)</f>
        <v>49</v>
      </c>
      <c r="M385" s="185" t="s">
        <v>915</v>
      </c>
      <c r="N385" s="185" t="s">
        <v>915</v>
      </c>
      <c r="O385" s="188" t="s">
        <v>915</v>
      </c>
      <c r="P385" s="189">
        <v>4615005.4700000007</v>
      </c>
      <c r="Q385" s="189">
        <f>Q386+Q387</f>
        <v>0</v>
      </c>
      <c r="R385" s="189">
        <f>R386+R387</f>
        <v>0</v>
      </c>
      <c r="S385" s="189">
        <f>S386+S387</f>
        <v>4615005.4700000007</v>
      </c>
      <c r="T385" s="189">
        <f t="shared" si="45"/>
        <v>3988.7687726879867</v>
      </c>
      <c r="U385" s="189">
        <f>MAX(U386:U387)</f>
        <v>5066.1437061403512</v>
      </c>
      <c r="V385" s="170">
        <f t="shared" si="49"/>
        <v>1077.3749334523645</v>
      </c>
      <c r="W385" s="170"/>
      <c r="X385" s="170"/>
      <c r="Y385" s="173" t="e">
        <f t="shared" si="50"/>
        <v>#N/A</v>
      </c>
      <c r="AA385" s="173" t="e">
        <f t="shared" si="46"/>
        <v>#N/A</v>
      </c>
      <c r="AC385" s="173" t="s">
        <v>630</v>
      </c>
      <c r="AD385" s="173">
        <v>773</v>
      </c>
      <c r="AH385" s="173" t="e">
        <f t="shared" si="47"/>
        <v>#N/A</v>
      </c>
      <c r="AS385" s="173" t="e">
        <f t="shared" si="48"/>
        <v>#N/A</v>
      </c>
    </row>
    <row r="386" spans="1:45" s="173" customFormat="1" ht="36" customHeight="1" x14ac:dyDescent="0.9">
      <c r="A386" s="173">
        <v>1</v>
      </c>
      <c r="B386" s="91">
        <f>SUBTOTAL(103,$A$16:A386)</f>
        <v>344</v>
      </c>
      <c r="C386" s="90" t="s">
        <v>172</v>
      </c>
      <c r="D386" s="185">
        <v>1956</v>
      </c>
      <c r="E386" s="185"/>
      <c r="F386" s="191" t="s">
        <v>273</v>
      </c>
      <c r="G386" s="185">
        <v>2</v>
      </c>
      <c r="H386" s="185">
        <v>2</v>
      </c>
      <c r="I386" s="189">
        <v>456</v>
      </c>
      <c r="J386" s="189">
        <v>399</v>
      </c>
      <c r="K386" s="189">
        <v>399</v>
      </c>
      <c r="L386" s="187">
        <v>16</v>
      </c>
      <c r="M386" s="185" t="s">
        <v>271</v>
      </c>
      <c r="N386" s="185" t="s">
        <v>345</v>
      </c>
      <c r="O386" s="188" t="s">
        <v>1026</v>
      </c>
      <c r="P386" s="189">
        <v>2310161.5300000003</v>
      </c>
      <c r="Q386" s="189">
        <v>0</v>
      </c>
      <c r="R386" s="189">
        <v>0</v>
      </c>
      <c r="S386" s="189">
        <f>P386-Q386-R386</f>
        <v>2310161.5300000003</v>
      </c>
      <c r="T386" s="189">
        <f t="shared" si="45"/>
        <v>5066.1437061403512</v>
      </c>
      <c r="U386" s="189">
        <f>T386</f>
        <v>5066.1437061403512</v>
      </c>
      <c r="V386" s="170">
        <f t="shared" si="49"/>
        <v>0</v>
      </c>
      <c r="W386" s="170"/>
      <c r="X386" s="170"/>
      <c r="Y386" s="173">
        <f t="shared" si="50"/>
        <v>4727.332184210527</v>
      </c>
      <c r="AA386" s="173">
        <f t="shared" si="46"/>
        <v>412.82</v>
      </c>
      <c r="AC386" s="173" t="s">
        <v>631</v>
      </c>
      <c r="AD386" s="173">
        <v>1050</v>
      </c>
      <c r="AH386" s="173" t="e">
        <f t="shared" si="47"/>
        <v>#N/A</v>
      </c>
      <c r="AS386" s="173" t="e">
        <f t="shared" si="48"/>
        <v>#N/A</v>
      </c>
    </row>
    <row r="387" spans="1:45" s="173" customFormat="1" ht="36" customHeight="1" x14ac:dyDescent="0.9">
      <c r="A387" s="173">
        <v>1</v>
      </c>
      <c r="B387" s="91">
        <f>SUBTOTAL(103,$A$16:A387)</f>
        <v>345</v>
      </c>
      <c r="C387" s="90" t="s">
        <v>1259</v>
      </c>
      <c r="D387" s="185">
        <v>1960</v>
      </c>
      <c r="E387" s="185"/>
      <c r="F387" s="191" t="s">
        <v>273</v>
      </c>
      <c r="G387" s="185">
        <v>2</v>
      </c>
      <c r="H387" s="185">
        <v>2</v>
      </c>
      <c r="I387" s="189">
        <v>701</v>
      </c>
      <c r="J387" s="189">
        <v>637</v>
      </c>
      <c r="K387" s="189">
        <v>592</v>
      </c>
      <c r="L387" s="187">
        <v>33</v>
      </c>
      <c r="M387" s="185" t="s">
        <v>271</v>
      </c>
      <c r="N387" s="185" t="s">
        <v>275</v>
      </c>
      <c r="O387" s="188" t="s">
        <v>1026</v>
      </c>
      <c r="P387" s="189">
        <v>2304843.94</v>
      </c>
      <c r="Q387" s="189">
        <v>0</v>
      </c>
      <c r="R387" s="189">
        <v>0</v>
      </c>
      <c r="S387" s="189">
        <f>P387-Q387-R387</f>
        <v>2304843.94</v>
      </c>
      <c r="T387" s="189">
        <f t="shared" si="45"/>
        <v>3287.9371469329531</v>
      </c>
      <c r="U387" s="189">
        <v>3697.55</v>
      </c>
      <c r="V387" s="170">
        <f t="shared" si="49"/>
        <v>409.61285306704713</v>
      </c>
      <c r="W387" s="170"/>
      <c r="X387" s="170"/>
      <c r="Y387" s="173" t="e">
        <f t="shared" si="50"/>
        <v>#N/A</v>
      </c>
      <c r="AA387" s="173" t="e">
        <f t="shared" si="46"/>
        <v>#N/A</v>
      </c>
      <c r="AC387" s="173" t="s">
        <v>632</v>
      </c>
      <c r="AD387" s="173">
        <v>945</v>
      </c>
      <c r="AH387" s="173" t="e">
        <f t="shared" si="47"/>
        <v>#N/A</v>
      </c>
      <c r="AS387" s="173" t="e">
        <f t="shared" si="48"/>
        <v>#N/A</v>
      </c>
    </row>
    <row r="388" spans="1:45" s="173" customFormat="1" ht="36" customHeight="1" x14ac:dyDescent="0.9">
      <c r="B388" s="90" t="s">
        <v>862</v>
      </c>
      <c r="C388" s="90"/>
      <c r="D388" s="185" t="s">
        <v>915</v>
      </c>
      <c r="E388" s="185" t="s">
        <v>915</v>
      </c>
      <c r="F388" s="185" t="s">
        <v>915</v>
      </c>
      <c r="G388" s="185" t="s">
        <v>915</v>
      </c>
      <c r="H388" s="185" t="s">
        <v>915</v>
      </c>
      <c r="I388" s="186">
        <f>I389</f>
        <v>407.9</v>
      </c>
      <c r="J388" s="186">
        <f>J389</f>
        <v>352.3</v>
      </c>
      <c r="K388" s="186">
        <f>K389</f>
        <v>308.3</v>
      </c>
      <c r="L388" s="187">
        <f>L389</f>
        <v>24</v>
      </c>
      <c r="M388" s="185" t="s">
        <v>915</v>
      </c>
      <c r="N388" s="185" t="s">
        <v>915</v>
      </c>
      <c r="O388" s="188" t="s">
        <v>915</v>
      </c>
      <c r="P388" s="189">
        <v>1491809.6800000002</v>
      </c>
      <c r="Q388" s="189">
        <f>Q389</f>
        <v>0</v>
      </c>
      <c r="R388" s="189">
        <f>R389</f>
        <v>0</v>
      </c>
      <c r="S388" s="189">
        <f>S389</f>
        <v>1491809.6800000002</v>
      </c>
      <c r="T388" s="189">
        <f t="shared" si="45"/>
        <v>3657.2926697720036</v>
      </c>
      <c r="U388" s="189">
        <f>U389</f>
        <v>4303.1523706790886</v>
      </c>
      <c r="V388" s="170">
        <f t="shared" si="49"/>
        <v>645.85970090708497</v>
      </c>
      <c r="W388" s="170"/>
      <c r="X388" s="170"/>
      <c r="Y388" s="173" t="e">
        <f t="shared" si="50"/>
        <v>#N/A</v>
      </c>
      <c r="AA388" s="173" t="e">
        <f t="shared" si="46"/>
        <v>#N/A</v>
      </c>
      <c r="AC388" s="173" t="s">
        <v>637</v>
      </c>
      <c r="AD388" s="173">
        <v>650</v>
      </c>
      <c r="AH388" s="173" t="e">
        <f t="shared" si="47"/>
        <v>#N/A</v>
      </c>
      <c r="AS388" s="173" t="e">
        <f t="shared" si="48"/>
        <v>#N/A</v>
      </c>
    </row>
    <row r="389" spans="1:45" s="173" customFormat="1" ht="36" customHeight="1" x14ac:dyDescent="0.9">
      <c r="A389" s="173">
        <v>1</v>
      </c>
      <c r="B389" s="91">
        <f>SUBTOTAL(103,$A$16:A389)</f>
        <v>346</v>
      </c>
      <c r="C389" s="90" t="s">
        <v>171</v>
      </c>
      <c r="D389" s="185">
        <v>1954</v>
      </c>
      <c r="E389" s="185"/>
      <c r="F389" s="191" t="s">
        <v>273</v>
      </c>
      <c r="G389" s="185">
        <v>2</v>
      </c>
      <c r="H389" s="185">
        <v>2</v>
      </c>
      <c r="I389" s="189">
        <v>407.9</v>
      </c>
      <c r="J389" s="189">
        <v>352.3</v>
      </c>
      <c r="K389" s="189">
        <v>308.3</v>
      </c>
      <c r="L389" s="187">
        <v>24</v>
      </c>
      <c r="M389" s="185" t="s">
        <v>271</v>
      </c>
      <c r="N389" s="185" t="s">
        <v>272</v>
      </c>
      <c r="O389" s="188" t="s">
        <v>274</v>
      </c>
      <c r="P389" s="189">
        <v>1491809.6800000002</v>
      </c>
      <c r="Q389" s="189">
        <v>0</v>
      </c>
      <c r="R389" s="189">
        <v>0</v>
      </c>
      <c r="S389" s="189">
        <f>P389-Q389-R389</f>
        <v>1491809.6800000002</v>
      </c>
      <c r="T389" s="189">
        <f t="shared" si="45"/>
        <v>3657.2926697720036</v>
      </c>
      <c r="U389" s="189">
        <f>Y389</f>
        <v>4303.1523706790886</v>
      </c>
      <c r="V389" s="170">
        <f t="shared" si="49"/>
        <v>645.85970090708497</v>
      </c>
      <c r="W389" s="170"/>
      <c r="X389" s="170"/>
      <c r="Y389" s="173">
        <f t="shared" si="50"/>
        <v>4303.1523706790886</v>
      </c>
      <c r="AA389" s="173">
        <f t="shared" si="46"/>
        <v>336.14</v>
      </c>
      <c r="AC389" s="173" t="s">
        <v>638</v>
      </c>
      <c r="AD389" s="173">
        <v>1040</v>
      </c>
      <c r="AH389" s="173" t="e">
        <f t="shared" si="47"/>
        <v>#N/A</v>
      </c>
      <c r="AS389" s="173" t="e">
        <f t="shared" si="48"/>
        <v>#N/A</v>
      </c>
    </row>
    <row r="390" spans="1:45" s="173" customFormat="1" ht="36" customHeight="1" x14ac:dyDescent="0.9">
      <c r="B390" s="90" t="s">
        <v>861</v>
      </c>
      <c r="C390" s="90"/>
      <c r="D390" s="185" t="s">
        <v>915</v>
      </c>
      <c r="E390" s="185" t="s">
        <v>915</v>
      </c>
      <c r="F390" s="185" t="s">
        <v>915</v>
      </c>
      <c r="G390" s="185" t="s">
        <v>915</v>
      </c>
      <c r="H390" s="185" t="s">
        <v>915</v>
      </c>
      <c r="I390" s="186">
        <f>SUM(I391:I394)</f>
        <v>2141.5</v>
      </c>
      <c r="J390" s="186">
        <f>SUM(J391:J394)</f>
        <v>1920.9</v>
      </c>
      <c r="K390" s="186">
        <f>SUM(K391:K394)</f>
        <v>1381.6</v>
      </c>
      <c r="L390" s="187">
        <f>SUM(L391:L394)</f>
        <v>79</v>
      </c>
      <c r="M390" s="185" t="s">
        <v>915</v>
      </c>
      <c r="N390" s="185" t="s">
        <v>915</v>
      </c>
      <c r="O390" s="188" t="s">
        <v>915</v>
      </c>
      <c r="P390" s="186">
        <v>7263579.6500000004</v>
      </c>
      <c r="Q390" s="186">
        <f>SUM(Q391:Q394)</f>
        <v>0</v>
      </c>
      <c r="R390" s="186">
        <f>SUM(R391:R394)</f>
        <v>0</v>
      </c>
      <c r="S390" s="186">
        <f>SUM(S391:S394)</f>
        <v>7263579.6500000004</v>
      </c>
      <c r="T390" s="189">
        <f t="shared" si="45"/>
        <v>3391.8186551482609</v>
      </c>
      <c r="U390" s="189">
        <f>MAX(U391:U394)</f>
        <v>7339.4438966384623</v>
      </c>
      <c r="V390" s="170">
        <f t="shared" si="49"/>
        <v>3947.6252414902015</v>
      </c>
      <c r="W390" s="170"/>
      <c r="X390" s="170"/>
      <c r="Y390" s="173" t="e">
        <f t="shared" si="50"/>
        <v>#N/A</v>
      </c>
      <c r="AA390" s="173" t="e">
        <f t="shared" si="46"/>
        <v>#N/A</v>
      </c>
      <c r="AC390" s="173" t="s">
        <v>636</v>
      </c>
      <c r="AD390" s="173">
        <v>937</v>
      </c>
      <c r="AH390" s="173" t="e">
        <f t="shared" si="47"/>
        <v>#N/A</v>
      </c>
      <c r="AS390" s="173" t="e">
        <f t="shared" si="48"/>
        <v>#N/A</v>
      </c>
    </row>
    <row r="391" spans="1:45" s="173" customFormat="1" ht="36" customHeight="1" x14ac:dyDescent="0.9">
      <c r="A391" s="173">
        <v>1</v>
      </c>
      <c r="B391" s="91">
        <f>SUBTOTAL(103,$A$16:A391)</f>
        <v>347</v>
      </c>
      <c r="C391" s="90" t="s">
        <v>186</v>
      </c>
      <c r="D391" s="185">
        <v>1955</v>
      </c>
      <c r="E391" s="185"/>
      <c r="F391" s="191" t="s">
        <v>273</v>
      </c>
      <c r="G391" s="185">
        <v>2</v>
      </c>
      <c r="H391" s="185">
        <v>1</v>
      </c>
      <c r="I391" s="189">
        <v>545.6</v>
      </c>
      <c r="J391" s="189">
        <v>501.6</v>
      </c>
      <c r="K391" s="189">
        <v>384.3</v>
      </c>
      <c r="L391" s="187">
        <v>27</v>
      </c>
      <c r="M391" s="185" t="s">
        <v>271</v>
      </c>
      <c r="N391" s="185" t="s">
        <v>272</v>
      </c>
      <c r="O391" s="188" t="s">
        <v>274</v>
      </c>
      <c r="P391" s="189">
        <v>1659429.9100000001</v>
      </c>
      <c r="Q391" s="189">
        <v>0</v>
      </c>
      <c r="R391" s="189">
        <v>0</v>
      </c>
      <c r="S391" s="189">
        <f>P391-Q391-R391</f>
        <v>1659429.9100000001</v>
      </c>
      <c r="T391" s="189">
        <f t="shared" si="45"/>
        <v>3041.4771077712612</v>
      </c>
      <c r="U391" s="189">
        <f>AG391</f>
        <v>4976.6905263157887</v>
      </c>
      <c r="V391" s="170">
        <f t="shared" si="49"/>
        <v>1935.2134185445275</v>
      </c>
      <c r="W391" s="170"/>
      <c r="X391" s="170"/>
      <c r="Y391" s="173" t="e">
        <f t="shared" si="50"/>
        <v>#N/A</v>
      </c>
      <c r="AA391" s="173" t="e">
        <f t="shared" si="46"/>
        <v>#N/A</v>
      </c>
      <c r="AC391" s="173" t="s">
        <v>627</v>
      </c>
      <c r="AD391" s="173">
        <v>559.6</v>
      </c>
      <c r="AG391" s="173">
        <f>AH391*6191.24/J391</f>
        <v>4976.6905263157887</v>
      </c>
      <c r="AH391" s="173">
        <f t="shared" si="47"/>
        <v>403.2</v>
      </c>
      <c r="AS391" s="173" t="e">
        <f t="shared" si="48"/>
        <v>#N/A</v>
      </c>
    </row>
    <row r="392" spans="1:45" s="173" customFormat="1" ht="36" customHeight="1" x14ac:dyDescent="0.9">
      <c r="A392" s="173">
        <v>1</v>
      </c>
      <c r="B392" s="91">
        <f>SUBTOTAL(103,$A$16:A392)</f>
        <v>348</v>
      </c>
      <c r="C392" s="90" t="s">
        <v>1257</v>
      </c>
      <c r="D392" s="185">
        <v>1965</v>
      </c>
      <c r="E392" s="185"/>
      <c r="F392" s="191" t="s">
        <v>273</v>
      </c>
      <c r="G392" s="185">
        <v>2</v>
      </c>
      <c r="H392" s="185">
        <v>2</v>
      </c>
      <c r="I392" s="189">
        <v>527.5</v>
      </c>
      <c r="J392" s="189">
        <v>437.3</v>
      </c>
      <c r="K392" s="189">
        <v>292.89999999999998</v>
      </c>
      <c r="L392" s="187">
        <v>14</v>
      </c>
      <c r="M392" s="185" t="s">
        <v>271</v>
      </c>
      <c r="N392" s="185" t="s">
        <v>275</v>
      </c>
      <c r="O392" s="188" t="s">
        <v>1361</v>
      </c>
      <c r="P392" s="189">
        <v>1841202.1099999999</v>
      </c>
      <c r="Q392" s="189">
        <v>0</v>
      </c>
      <c r="R392" s="189">
        <v>0</v>
      </c>
      <c r="S392" s="189">
        <f>P392-Q392-R392</f>
        <v>1841202.1099999999</v>
      </c>
      <c r="T392" s="189">
        <f t="shared" si="45"/>
        <v>3490.4305402843597</v>
      </c>
      <c r="U392" s="189">
        <f>AG392</f>
        <v>7339.4438966384623</v>
      </c>
      <c r="V392" s="170">
        <f t="shared" si="49"/>
        <v>3849.0133563541026</v>
      </c>
      <c r="W392" s="170"/>
      <c r="X392" s="170"/>
      <c r="Y392" s="173" t="e">
        <f t="shared" si="50"/>
        <v>#N/A</v>
      </c>
      <c r="AA392" s="173" t="e">
        <f t="shared" si="46"/>
        <v>#N/A</v>
      </c>
      <c r="AC392" s="173" t="s">
        <v>642</v>
      </c>
      <c r="AD392" s="173">
        <v>943</v>
      </c>
      <c r="AG392" s="173">
        <f>AH392*6191.24/J392</f>
        <v>7339.4438966384623</v>
      </c>
      <c r="AH392" s="173">
        <f t="shared" si="47"/>
        <v>518.4</v>
      </c>
      <c r="AS392" s="173" t="e">
        <f t="shared" si="48"/>
        <v>#N/A</v>
      </c>
    </row>
    <row r="393" spans="1:45" s="173" customFormat="1" ht="36" customHeight="1" x14ac:dyDescent="0.9">
      <c r="A393" s="173">
        <v>1</v>
      </c>
      <c r="B393" s="91">
        <f>SUBTOTAL(103,$A$16:A393)</f>
        <v>349</v>
      </c>
      <c r="C393" s="90" t="s">
        <v>1258</v>
      </c>
      <c r="D393" s="185">
        <v>1963</v>
      </c>
      <c r="E393" s="185"/>
      <c r="F393" s="191" t="s">
        <v>273</v>
      </c>
      <c r="G393" s="185">
        <v>2</v>
      </c>
      <c r="H393" s="185">
        <v>2</v>
      </c>
      <c r="I393" s="189">
        <v>662.7</v>
      </c>
      <c r="J393" s="189">
        <v>609.9</v>
      </c>
      <c r="K393" s="189">
        <v>419.4</v>
      </c>
      <c r="L393" s="187">
        <v>20</v>
      </c>
      <c r="M393" s="185" t="s">
        <v>271</v>
      </c>
      <c r="N393" s="185" t="s">
        <v>275</v>
      </c>
      <c r="O393" s="188" t="s">
        <v>1361</v>
      </c>
      <c r="P393" s="189">
        <v>2241051.35</v>
      </c>
      <c r="Q393" s="189">
        <v>0</v>
      </c>
      <c r="R393" s="189">
        <v>0</v>
      </c>
      <c r="S393" s="189">
        <f>P393-Q393-R393</f>
        <v>2241051.35</v>
      </c>
      <c r="T393" s="189">
        <f t="shared" si="45"/>
        <v>3381.6981288667571</v>
      </c>
      <c r="U393" s="189">
        <f>Y393</f>
        <v>4275.9347940244452</v>
      </c>
      <c r="V393" s="170">
        <f t="shared" si="49"/>
        <v>894.23666515768809</v>
      </c>
      <c r="W393" s="170"/>
      <c r="X393" s="170"/>
      <c r="Y393" s="173">
        <f t="shared" si="50"/>
        <v>4275.9347940244452</v>
      </c>
      <c r="AA393" s="173">
        <f t="shared" si="46"/>
        <v>542.66</v>
      </c>
      <c r="AC393" s="173" t="s">
        <v>641</v>
      </c>
      <c r="AD393" s="173">
        <v>530</v>
      </c>
      <c r="AH393" s="173" t="e">
        <f t="shared" si="47"/>
        <v>#N/A</v>
      </c>
      <c r="AS393" s="173" t="e">
        <f t="shared" si="48"/>
        <v>#N/A</v>
      </c>
    </row>
    <row r="394" spans="1:45" s="173" customFormat="1" ht="36" customHeight="1" x14ac:dyDescent="0.9">
      <c r="A394" s="173">
        <v>1</v>
      </c>
      <c r="B394" s="91">
        <f>SUBTOTAL(103,$A$16:A394)</f>
        <v>350</v>
      </c>
      <c r="C394" s="90" t="s">
        <v>1617</v>
      </c>
      <c r="D394" s="185">
        <v>1976</v>
      </c>
      <c r="E394" s="185"/>
      <c r="F394" s="191" t="s">
        <v>1620</v>
      </c>
      <c r="G394" s="185">
        <v>2</v>
      </c>
      <c r="H394" s="185">
        <v>1</v>
      </c>
      <c r="I394" s="189">
        <v>405.7</v>
      </c>
      <c r="J394" s="189">
        <v>372.1</v>
      </c>
      <c r="K394" s="189">
        <f>J394-87.1</f>
        <v>285</v>
      </c>
      <c r="L394" s="187">
        <v>18</v>
      </c>
      <c r="M394" s="185" t="s">
        <v>271</v>
      </c>
      <c r="N394" s="185" t="s">
        <v>272</v>
      </c>
      <c r="O394" s="188" t="s">
        <v>274</v>
      </c>
      <c r="P394" s="189">
        <v>1521896.28</v>
      </c>
      <c r="Q394" s="189">
        <v>0</v>
      </c>
      <c r="R394" s="189">
        <v>0</v>
      </c>
      <c r="S394" s="189">
        <f>P394-R394-Q394</f>
        <v>1521896.28</v>
      </c>
      <c r="T394" s="189">
        <f t="shared" si="45"/>
        <v>3751.2848903130393</v>
      </c>
      <c r="U394" s="189">
        <v>3751.2848903130393</v>
      </c>
      <c r="V394" s="170">
        <f t="shared" si="49"/>
        <v>0</v>
      </c>
      <c r="W394" s="170"/>
      <c r="X394" s="170"/>
      <c r="Y394" s="173" t="e">
        <f t="shared" si="50"/>
        <v>#N/A</v>
      </c>
      <c r="AA394" s="173" t="e">
        <f t="shared" si="46"/>
        <v>#N/A</v>
      </c>
      <c r="AC394" s="173" t="s">
        <v>653</v>
      </c>
      <c r="AD394" s="173">
        <v>1100</v>
      </c>
      <c r="AH394" s="173" t="e">
        <f t="shared" si="47"/>
        <v>#N/A</v>
      </c>
      <c r="AS394" s="173" t="e">
        <f t="shared" si="48"/>
        <v>#N/A</v>
      </c>
    </row>
    <row r="395" spans="1:45" s="173" customFormat="1" ht="36" customHeight="1" x14ac:dyDescent="0.9">
      <c r="B395" s="90" t="s">
        <v>896</v>
      </c>
      <c r="C395" s="90"/>
      <c r="D395" s="185" t="s">
        <v>915</v>
      </c>
      <c r="E395" s="185" t="s">
        <v>915</v>
      </c>
      <c r="F395" s="185" t="s">
        <v>915</v>
      </c>
      <c r="G395" s="185" t="s">
        <v>915</v>
      </c>
      <c r="H395" s="185" t="s">
        <v>915</v>
      </c>
      <c r="I395" s="186">
        <f>I396</f>
        <v>829.4</v>
      </c>
      <c r="J395" s="186">
        <f>J396</f>
        <v>758.4</v>
      </c>
      <c r="K395" s="186">
        <f>K396</f>
        <v>671.6</v>
      </c>
      <c r="L395" s="187">
        <f>L396</f>
        <v>24</v>
      </c>
      <c r="M395" s="185" t="s">
        <v>915</v>
      </c>
      <c r="N395" s="185" t="s">
        <v>915</v>
      </c>
      <c r="O395" s="188" t="s">
        <v>915</v>
      </c>
      <c r="P395" s="189">
        <v>3281480.1</v>
      </c>
      <c r="Q395" s="189">
        <f>Q396</f>
        <v>0</v>
      </c>
      <c r="R395" s="189">
        <f>R396</f>
        <v>0</v>
      </c>
      <c r="S395" s="189">
        <f>S396</f>
        <v>3281480.1</v>
      </c>
      <c r="T395" s="189">
        <f t="shared" si="45"/>
        <v>3956.450566674705</v>
      </c>
      <c r="U395" s="189">
        <f>U396</f>
        <v>5735.3870970464131</v>
      </c>
      <c r="V395" s="170">
        <f t="shared" si="49"/>
        <v>1778.9365303717082</v>
      </c>
      <c r="W395" s="170"/>
      <c r="X395" s="170"/>
      <c r="Y395" s="173" t="e">
        <f t="shared" si="50"/>
        <v>#N/A</v>
      </c>
      <c r="AA395" s="173" t="e">
        <f t="shared" si="46"/>
        <v>#N/A</v>
      </c>
      <c r="AC395" s="173" t="s">
        <v>644</v>
      </c>
      <c r="AD395" s="173">
        <v>873.5</v>
      </c>
      <c r="AH395" s="173" t="e">
        <f t="shared" si="47"/>
        <v>#N/A</v>
      </c>
      <c r="AS395" s="173" t="e">
        <f t="shared" si="48"/>
        <v>#N/A</v>
      </c>
    </row>
    <row r="396" spans="1:45" s="173" customFormat="1" ht="36" customHeight="1" x14ac:dyDescent="0.9">
      <c r="A396" s="173">
        <v>1</v>
      </c>
      <c r="B396" s="91">
        <f>SUBTOTAL(103,$A$16:A396)</f>
        <v>351</v>
      </c>
      <c r="C396" s="90" t="s">
        <v>1260</v>
      </c>
      <c r="D396" s="185">
        <v>1972</v>
      </c>
      <c r="E396" s="185">
        <v>2010</v>
      </c>
      <c r="F396" s="191" t="s">
        <v>273</v>
      </c>
      <c r="G396" s="185">
        <v>2</v>
      </c>
      <c r="H396" s="185">
        <v>2</v>
      </c>
      <c r="I396" s="189">
        <v>829.4</v>
      </c>
      <c r="J396" s="189">
        <v>758.4</v>
      </c>
      <c r="K396" s="189">
        <v>671.6</v>
      </c>
      <c r="L396" s="187">
        <v>24</v>
      </c>
      <c r="M396" s="185" t="s">
        <v>271</v>
      </c>
      <c r="N396" s="185" t="s">
        <v>275</v>
      </c>
      <c r="O396" s="188" t="s">
        <v>835</v>
      </c>
      <c r="P396" s="189">
        <v>3281480.1</v>
      </c>
      <c r="Q396" s="189">
        <v>0</v>
      </c>
      <c r="R396" s="189">
        <v>0</v>
      </c>
      <c r="S396" s="189">
        <f>P396-Q396-R396</f>
        <v>3281480.1</v>
      </c>
      <c r="T396" s="189">
        <f t="shared" si="45"/>
        <v>3956.450566674705</v>
      </c>
      <c r="U396" s="189">
        <f>AG396</f>
        <v>5735.3870970464131</v>
      </c>
      <c r="V396" s="170">
        <f t="shared" si="49"/>
        <v>1778.9365303717082</v>
      </c>
      <c r="W396" s="170"/>
      <c r="X396" s="170"/>
      <c r="Y396" s="173" t="e">
        <f t="shared" si="50"/>
        <v>#N/A</v>
      </c>
      <c r="AA396" s="173" t="e">
        <f t="shared" si="46"/>
        <v>#N/A</v>
      </c>
      <c r="AC396" s="173" t="s">
        <v>1642</v>
      </c>
      <c r="AD396" s="173">
        <v>766</v>
      </c>
      <c r="AG396" s="173">
        <f>AH396*6191.24/J396</f>
        <v>5735.3870970464131</v>
      </c>
      <c r="AH396" s="173">
        <f t="shared" si="47"/>
        <v>702.56</v>
      </c>
      <c r="AS396" s="173" t="e">
        <f t="shared" si="48"/>
        <v>#N/A</v>
      </c>
    </row>
    <row r="397" spans="1:45" s="173" customFormat="1" ht="36" customHeight="1" x14ac:dyDescent="0.9">
      <c r="B397" s="90" t="s">
        <v>863</v>
      </c>
      <c r="C397" s="192"/>
      <c r="D397" s="185" t="s">
        <v>915</v>
      </c>
      <c r="E397" s="185" t="s">
        <v>915</v>
      </c>
      <c r="F397" s="185" t="s">
        <v>915</v>
      </c>
      <c r="G397" s="185" t="s">
        <v>915</v>
      </c>
      <c r="H397" s="185" t="s">
        <v>915</v>
      </c>
      <c r="I397" s="186">
        <f>SUM(I398:I402)</f>
        <v>9725.5</v>
      </c>
      <c r="J397" s="186">
        <f>SUM(J398:J402)</f>
        <v>7654</v>
      </c>
      <c r="K397" s="186">
        <f>SUM(K398:K402)</f>
        <v>6834</v>
      </c>
      <c r="L397" s="187">
        <f>SUM(L398:L402)</f>
        <v>360</v>
      </c>
      <c r="M397" s="185" t="s">
        <v>915</v>
      </c>
      <c r="N397" s="185" t="s">
        <v>915</v>
      </c>
      <c r="O397" s="188" t="s">
        <v>915</v>
      </c>
      <c r="P397" s="189">
        <v>18773024.589999996</v>
      </c>
      <c r="Q397" s="189">
        <f>SUM(Q398:Q402)</f>
        <v>0</v>
      </c>
      <c r="R397" s="189">
        <f>SUM(R398:R402)</f>
        <v>0</v>
      </c>
      <c r="S397" s="189">
        <f>SUM(S398:S402)</f>
        <v>18773024.589999996</v>
      </c>
      <c r="T397" s="189">
        <f t="shared" si="45"/>
        <v>1930.2888890031356</v>
      </c>
      <c r="U397" s="189">
        <f>MAX(U398:U402)</f>
        <v>4981.0492845786966</v>
      </c>
      <c r="V397" s="170">
        <f t="shared" si="49"/>
        <v>3050.7603955755612</v>
      </c>
      <c r="W397" s="170"/>
      <c r="X397" s="170"/>
      <c r="Y397" s="173" t="e">
        <f t="shared" si="50"/>
        <v>#N/A</v>
      </c>
      <c r="AA397" s="173" t="e">
        <f t="shared" si="46"/>
        <v>#N/A</v>
      </c>
      <c r="AC397" s="173" t="s">
        <v>1665</v>
      </c>
      <c r="AD397" s="173">
        <v>729.73</v>
      </c>
      <c r="AH397" s="173" t="e">
        <f t="shared" si="47"/>
        <v>#N/A</v>
      </c>
      <c r="AS397" s="173" t="e">
        <f t="shared" si="48"/>
        <v>#N/A</v>
      </c>
    </row>
    <row r="398" spans="1:45" s="173" customFormat="1" ht="36" customHeight="1" x14ac:dyDescent="0.9">
      <c r="A398" s="173">
        <v>1</v>
      </c>
      <c r="B398" s="91">
        <f>SUBTOTAL(103,$A$16:A398)</f>
        <v>352</v>
      </c>
      <c r="C398" s="90" t="s">
        <v>75</v>
      </c>
      <c r="D398" s="185">
        <v>1950</v>
      </c>
      <c r="E398" s="185"/>
      <c r="F398" s="191" t="s">
        <v>273</v>
      </c>
      <c r="G398" s="185">
        <v>3</v>
      </c>
      <c r="H398" s="185">
        <v>2</v>
      </c>
      <c r="I398" s="189">
        <v>871.6</v>
      </c>
      <c r="J398" s="189">
        <v>765</v>
      </c>
      <c r="K398" s="189">
        <v>743</v>
      </c>
      <c r="L398" s="187">
        <v>25</v>
      </c>
      <c r="M398" s="185" t="s">
        <v>271</v>
      </c>
      <c r="N398" s="185" t="s">
        <v>275</v>
      </c>
      <c r="O398" s="188" t="s">
        <v>282</v>
      </c>
      <c r="P398" s="189">
        <v>3531435.05</v>
      </c>
      <c r="Q398" s="189">
        <v>0</v>
      </c>
      <c r="R398" s="189">
        <v>0</v>
      </c>
      <c r="S398" s="189">
        <f t="shared" ref="S398:S402" si="53">P398-Q398-R398</f>
        <v>3531435.05</v>
      </c>
      <c r="T398" s="189">
        <f t="shared" ref="T398:T461" si="54">P398/I398</f>
        <v>4051.6694011014224</v>
      </c>
      <c r="U398" s="189">
        <f>T398</f>
        <v>4051.6694011014224</v>
      </c>
      <c r="V398" s="170">
        <f t="shared" si="49"/>
        <v>0</v>
      </c>
      <c r="W398" s="170"/>
      <c r="X398" s="170"/>
      <c r="Y398" s="173">
        <f t="shared" si="50"/>
        <v>3744.4068379990822</v>
      </c>
      <c r="AA398" s="173">
        <f t="shared" si="46"/>
        <v>625</v>
      </c>
      <c r="AC398" s="173" t="s">
        <v>1666</v>
      </c>
      <c r="AD398" s="173">
        <v>383.77</v>
      </c>
      <c r="AH398" s="173" t="e">
        <f t="shared" si="47"/>
        <v>#N/A</v>
      </c>
      <c r="AS398" s="173" t="e">
        <f t="shared" si="48"/>
        <v>#N/A</v>
      </c>
    </row>
    <row r="399" spans="1:45" s="173" customFormat="1" ht="36" customHeight="1" x14ac:dyDescent="0.9">
      <c r="A399" s="173">
        <v>1</v>
      </c>
      <c r="B399" s="91">
        <f>SUBTOTAL(103,$A$16:A399)</f>
        <v>353</v>
      </c>
      <c r="C399" s="90" t="s">
        <v>74</v>
      </c>
      <c r="D399" s="185">
        <v>1963</v>
      </c>
      <c r="E399" s="185"/>
      <c r="F399" s="191" t="s">
        <v>273</v>
      </c>
      <c r="G399" s="185">
        <v>4</v>
      </c>
      <c r="H399" s="185">
        <v>2</v>
      </c>
      <c r="I399" s="189">
        <v>1600.4</v>
      </c>
      <c r="J399" s="189">
        <v>1222</v>
      </c>
      <c r="K399" s="189">
        <v>1222</v>
      </c>
      <c r="L399" s="187">
        <v>54</v>
      </c>
      <c r="M399" s="185" t="s">
        <v>271</v>
      </c>
      <c r="N399" s="185" t="s">
        <v>275</v>
      </c>
      <c r="O399" s="188" t="s">
        <v>283</v>
      </c>
      <c r="P399" s="189">
        <v>3130874.1599999997</v>
      </c>
      <c r="Q399" s="189">
        <v>0</v>
      </c>
      <c r="R399" s="189">
        <v>0</v>
      </c>
      <c r="S399" s="189">
        <f t="shared" si="53"/>
        <v>3130874.1599999997</v>
      </c>
      <c r="T399" s="189">
        <f t="shared" si="54"/>
        <v>1956.3072731817042</v>
      </c>
      <c r="U399" s="189">
        <f>T399</f>
        <v>1956.3072731817042</v>
      </c>
      <c r="V399" s="170">
        <f t="shared" si="49"/>
        <v>0</v>
      </c>
      <c r="W399" s="170"/>
      <c r="X399" s="170"/>
      <c r="Y399" s="173">
        <f t="shared" si="50"/>
        <v>1644.4558860284928</v>
      </c>
      <c r="AA399" s="173">
        <f t="shared" si="46"/>
        <v>504</v>
      </c>
      <c r="AC399" s="173" t="s">
        <v>1667</v>
      </c>
      <c r="AD399" s="173">
        <v>726.8</v>
      </c>
      <c r="AH399" s="173" t="e">
        <f t="shared" si="47"/>
        <v>#N/A</v>
      </c>
      <c r="AS399" s="173" t="e">
        <f t="shared" si="48"/>
        <v>#N/A</v>
      </c>
    </row>
    <row r="400" spans="1:45" s="173" customFormat="1" ht="36" customHeight="1" x14ac:dyDescent="0.9">
      <c r="A400" s="173">
        <v>1</v>
      </c>
      <c r="B400" s="91">
        <f>SUBTOTAL(103,$A$16:A400)</f>
        <v>354</v>
      </c>
      <c r="C400" s="90" t="s">
        <v>76</v>
      </c>
      <c r="D400" s="185">
        <v>1948</v>
      </c>
      <c r="E400" s="185"/>
      <c r="F400" s="191" t="s">
        <v>273</v>
      </c>
      <c r="G400" s="185">
        <v>4</v>
      </c>
      <c r="H400" s="185">
        <v>3</v>
      </c>
      <c r="I400" s="189">
        <v>1954.5</v>
      </c>
      <c r="J400" s="189">
        <v>1574</v>
      </c>
      <c r="K400" s="189">
        <v>1540</v>
      </c>
      <c r="L400" s="187">
        <v>58</v>
      </c>
      <c r="M400" s="185" t="s">
        <v>271</v>
      </c>
      <c r="N400" s="185" t="s">
        <v>275</v>
      </c>
      <c r="O400" s="188" t="s">
        <v>284</v>
      </c>
      <c r="P400" s="189">
        <v>5554456.5600000005</v>
      </c>
      <c r="Q400" s="189">
        <v>0</v>
      </c>
      <c r="R400" s="189">
        <v>0</v>
      </c>
      <c r="S400" s="189">
        <f t="shared" si="53"/>
        <v>5554456.5600000005</v>
      </c>
      <c r="T400" s="189">
        <f t="shared" si="54"/>
        <v>2841.8810744435918</v>
      </c>
      <c r="U400" s="189">
        <f>T400</f>
        <v>2841.8810744435918</v>
      </c>
      <c r="V400" s="170">
        <f t="shared" si="49"/>
        <v>0</v>
      </c>
      <c r="W400" s="170"/>
      <c r="X400" s="170"/>
      <c r="Y400" s="173">
        <f t="shared" si="50"/>
        <v>2548.7834228702995</v>
      </c>
      <c r="AA400" s="173">
        <f t="shared" ref="AA400:AA463" si="55">VLOOKUP(C400,AC:AE,2,FALSE)</f>
        <v>954</v>
      </c>
      <c r="AC400" s="173" t="s">
        <v>1668</v>
      </c>
      <c r="AD400" s="173">
        <v>425.38</v>
      </c>
      <c r="AH400" s="173" t="e">
        <f t="shared" ref="AH400:AH463" si="56">VLOOKUP(C400,AJ:AK,2,FALSE)</f>
        <v>#N/A</v>
      </c>
      <c r="AS400" s="173" t="e">
        <f t="shared" ref="AS400:AS463" si="57">VLOOKUP(C400,AU:AV,2,FALSE)</f>
        <v>#N/A</v>
      </c>
    </row>
    <row r="401" spans="1:45" s="173" customFormat="1" ht="36" customHeight="1" x14ac:dyDescent="0.9">
      <c r="A401" s="173">
        <v>1</v>
      </c>
      <c r="B401" s="91">
        <f>SUBTOTAL(103,$A$16:A401)</f>
        <v>355</v>
      </c>
      <c r="C401" s="90" t="s">
        <v>1261</v>
      </c>
      <c r="D401" s="185">
        <v>1974</v>
      </c>
      <c r="E401" s="185"/>
      <c r="F401" s="191" t="s">
        <v>273</v>
      </c>
      <c r="G401" s="185">
        <v>5</v>
      </c>
      <c r="H401" s="185">
        <v>2</v>
      </c>
      <c r="I401" s="189">
        <v>4670</v>
      </c>
      <c r="J401" s="189">
        <v>3641</v>
      </c>
      <c r="K401" s="189">
        <v>2877</v>
      </c>
      <c r="L401" s="187">
        <v>192</v>
      </c>
      <c r="M401" s="185" t="s">
        <v>271</v>
      </c>
      <c r="N401" s="185" t="s">
        <v>275</v>
      </c>
      <c r="O401" s="188" t="s">
        <v>1360</v>
      </c>
      <c r="P401" s="189">
        <v>4162144.7199999997</v>
      </c>
      <c r="Q401" s="189">
        <v>0</v>
      </c>
      <c r="R401" s="189">
        <v>0</v>
      </c>
      <c r="S401" s="189">
        <f t="shared" si="53"/>
        <v>4162144.7199999997</v>
      </c>
      <c r="T401" s="189">
        <f t="shared" si="54"/>
        <v>891.25154603854389</v>
      </c>
      <c r="U401" s="189">
        <f>Y401</f>
        <v>1090.4281284796575</v>
      </c>
      <c r="V401" s="170">
        <f t="shared" si="49"/>
        <v>199.17658244111362</v>
      </c>
      <c r="W401" s="170"/>
      <c r="X401" s="170"/>
      <c r="Y401" s="173">
        <f t="shared" si="50"/>
        <v>1090.4281284796575</v>
      </c>
      <c r="AA401" s="173">
        <f t="shared" si="55"/>
        <v>975.2</v>
      </c>
      <c r="AC401" s="173" t="s">
        <v>659</v>
      </c>
      <c r="AD401" s="173">
        <v>855.6</v>
      </c>
      <c r="AH401" s="173" t="e">
        <f t="shared" si="56"/>
        <v>#N/A</v>
      </c>
      <c r="AS401" s="173" t="e">
        <f t="shared" si="57"/>
        <v>#N/A</v>
      </c>
    </row>
    <row r="402" spans="1:45" s="173" customFormat="1" ht="36" customHeight="1" x14ac:dyDescent="0.9">
      <c r="A402" s="173">
        <v>1</v>
      </c>
      <c r="B402" s="91">
        <f>SUBTOTAL(103,$A$16:A402)</f>
        <v>356</v>
      </c>
      <c r="C402" s="90" t="s">
        <v>1262</v>
      </c>
      <c r="D402" s="185">
        <v>1955</v>
      </c>
      <c r="E402" s="185"/>
      <c r="F402" s="191" t="s">
        <v>273</v>
      </c>
      <c r="G402" s="185">
        <v>2</v>
      </c>
      <c r="H402" s="185">
        <v>2</v>
      </c>
      <c r="I402" s="189">
        <v>629</v>
      </c>
      <c r="J402" s="189">
        <v>452</v>
      </c>
      <c r="K402" s="189">
        <v>452</v>
      </c>
      <c r="L402" s="187">
        <v>31</v>
      </c>
      <c r="M402" s="185" t="s">
        <v>271</v>
      </c>
      <c r="N402" s="185" t="s">
        <v>275</v>
      </c>
      <c r="O402" s="188" t="s">
        <v>1333</v>
      </c>
      <c r="P402" s="189">
        <v>2394114.0999999996</v>
      </c>
      <c r="Q402" s="189">
        <v>0</v>
      </c>
      <c r="R402" s="189">
        <v>0</v>
      </c>
      <c r="S402" s="189">
        <f t="shared" si="53"/>
        <v>2394114.0999999996</v>
      </c>
      <c r="T402" s="189">
        <f t="shared" si="54"/>
        <v>3806.2227344992043</v>
      </c>
      <c r="U402" s="189">
        <f>Y402</f>
        <v>4981.0492845786966</v>
      </c>
      <c r="V402" s="170">
        <f t="shared" si="49"/>
        <v>1174.8265500794923</v>
      </c>
      <c r="W402" s="170"/>
      <c r="X402" s="170"/>
      <c r="Y402" s="173">
        <f t="shared" si="50"/>
        <v>4981.0492845786966</v>
      </c>
      <c r="AA402" s="173">
        <f t="shared" si="55"/>
        <v>600</v>
      </c>
      <c r="AC402" s="173" t="s">
        <v>667</v>
      </c>
      <c r="AD402" s="173">
        <v>345</v>
      </c>
      <c r="AH402" s="173" t="e">
        <f t="shared" si="56"/>
        <v>#N/A</v>
      </c>
      <c r="AS402" s="173" t="e">
        <f t="shared" si="57"/>
        <v>#N/A</v>
      </c>
    </row>
    <row r="403" spans="1:45" s="173" customFormat="1" ht="36" customHeight="1" x14ac:dyDescent="0.9">
      <c r="B403" s="90" t="s">
        <v>864</v>
      </c>
      <c r="C403" s="90"/>
      <c r="D403" s="185" t="s">
        <v>915</v>
      </c>
      <c r="E403" s="185" t="s">
        <v>915</v>
      </c>
      <c r="F403" s="185" t="s">
        <v>915</v>
      </c>
      <c r="G403" s="185" t="s">
        <v>915</v>
      </c>
      <c r="H403" s="185" t="s">
        <v>915</v>
      </c>
      <c r="I403" s="186">
        <f>I404</f>
        <v>613</v>
      </c>
      <c r="J403" s="186">
        <f>J404</f>
        <v>613</v>
      </c>
      <c r="K403" s="186">
        <f>K404</f>
        <v>571.70000000000005</v>
      </c>
      <c r="L403" s="187">
        <f>L404</f>
        <v>33</v>
      </c>
      <c r="M403" s="185" t="s">
        <v>915</v>
      </c>
      <c r="N403" s="185" t="s">
        <v>915</v>
      </c>
      <c r="O403" s="188" t="s">
        <v>915</v>
      </c>
      <c r="P403" s="189">
        <v>3182125.22</v>
      </c>
      <c r="Q403" s="189">
        <f>Q404</f>
        <v>0</v>
      </c>
      <c r="R403" s="189">
        <f>R404</f>
        <v>0</v>
      </c>
      <c r="S403" s="189">
        <f>S404</f>
        <v>3182125.22</v>
      </c>
      <c r="T403" s="189">
        <f t="shared" si="54"/>
        <v>5191.0688743882547</v>
      </c>
      <c r="U403" s="189">
        <f>T403</f>
        <v>5191.0688743882547</v>
      </c>
      <c r="V403" s="170">
        <f t="shared" ref="V403:V466" si="58">U403-T403</f>
        <v>0</v>
      </c>
      <c r="W403" s="170"/>
      <c r="X403" s="170"/>
      <c r="Y403" s="173" t="e">
        <f t="shared" ref="Y403:Y466" si="59">AA403*5221.8/I403</f>
        <v>#N/A</v>
      </c>
      <c r="AA403" s="173" t="e">
        <f t="shared" si="55"/>
        <v>#N/A</v>
      </c>
      <c r="AC403" s="173" t="s">
        <v>668</v>
      </c>
      <c r="AD403" s="173">
        <v>809.03</v>
      </c>
      <c r="AH403" s="173" t="e">
        <f t="shared" si="56"/>
        <v>#N/A</v>
      </c>
      <c r="AS403" s="173" t="e">
        <f t="shared" si="57"/>
        <v>#N/A</v>
      </c>
    </row>
    <row r="404" spans="1:45" s="173" customFormat="1" ht="36" customHeight="1" x14ac:dyDescent="0.9">
      <c r="A404" s="173">
        <v>1</v>
      </c>
      <c r="B404" s="91">
        <f>SUBTOTAL(103,$A$16:A404)</f>
        <v>357</v>
      </c>
      <c r="C404" s="90" t="s">
        <v>77</v>
      </c>
      <c r="D404" s="185">
        <v>1966</v>
      </c>
      <c r="E404" s="185"/>
      <c r="F404" s="191" t="s">
        <v>273</v>
      </c>
      <c r="G404" s="185">
        <v>2</v>
      </c>
      <c r="H404" s="185">
        <v>2</v>
      </c>
      <c r="I404" s="189">
        <v>613</v>
      </c>
      <c r="J404" s="189">
        <v>613</v>
      </c>
      <c r="K404" s="189">
        <v>571.70000000000005</v>
      </c>
      <c r="L404" s="187">
        <v>33</v>
      </c>
      <c r="M404" s="185" t="s">
        <v>271</v>
      </c>
      <c r="N404" s="185" t="s">
        <v>272</v>
      </c>
      <c r="O404" s="188" t="s">
        <v>274</v>
      </c>
      <c r="P404" s="189">
        <v>3182125.22</v>
      </c>
      <c r="Q404" s="189">
        <v>0</v>
      </c>
      <c r="R404" s="189">
        <v>0</v>
      </c>
      <c r="S404" s="189">
        <f>P404-Q404-R404</f>
        <v>3182125.22</v>
      </c>
      <c r="T404" s="189">
        <f t="shared" si="54"/>
        <v>5191.0688743882547</v>
      </c>
      <c r="U404" s="189">
        <f>T404</f>
        <v>5191.0688743882547</v>
      </c>
      <c r="V404" s="170">
        <f t="shared" si="58"/>
        <v>0</v>
      </c>
      <c r="W404" s="170"/>
      <c r="X404" s="170"/>
      <c r="Y404" s="173">
        <f t="shared" si="59"/>
        <v>5094.0234910277322</v>
      </c>
      <c r="AA404" s="173">
        <f t="shared" si="55"/>
        <v>598</v>
      </c>
      <c r="AC404" s="173" t="s">
        <v>669</v>
      </c>
      <c r="AD404" s="173">
        <v>748</v>
      </c>
      <c r="AH404" s="173" t="e">
        <f t="shared" si="56"/>
        <v>#N/A</v>
      </c>
      <c r="AS404" s="173" t="e">
        <f t="shared" si="57"/>
        <v>#N/A</v>
      </c>
    </row>
    <row r="405" spans="1:45" s="173" customFormat="1" ht="36" customHeight="1" x14ac:dyDescent="0.9">
      <c r="B405" s="90" t="s">
        <v>897</v>
      </c>
      <c r="C405" s="90"/>
      <c r="D405" s="185" t="s">
        <v>915</v>
      </c>
      <c r="E405" s="185" t="s">
        <v>915</v>
      </c>
      <c r="F405" s="185" t="s">
        <v>915</v>
      </c>
      <c r="G405" s="185" t="s">
        <v>915</v>
      </c>
      <c r="H405" s="185" t="s">
        <v>915</v>
      </c>
      <c r="I405" s="186">
        <f>I406</f>
        <v>320</v>
      </c>
      <c r="J405" s="186">
        <f>J406</f>
        <v>311</v>
      </c>
      <c r="K405" s="186">
        <f>K406</f>
        <v>311</v>
      </c>
      <c r="L405" s="187">
        <f>L406</f>
        <v>21</v>
      </c>
      <c r="M405" s="185" t="s">
        <v>915</v>
      </c>
      <c r="N405" s="185" t="s">
        <v>915</v>
      </c>
      <c r="O405" s="188" t="s">
        <v>915</v>
      </c>
      <c r="P405" s="189">
        <v>522383.64</v>
      </c>
      <c r="Q405" s="189">
        <f>Q406</f>
        <v>0</v>
      </c>
      <c r="R405" s="189">
        <f>R406</f>
        <v>0</v>
      </c>
      <c r="S405" s="189">
        <f>S406</f>
        <v>522383.64</v>
      </c>
      <c r="T405" s="189">
        <f t="shared" si="54"/>
        <v>1632.448875</v>
      </c>
      <c r="U405" s="189">
        <f>U406</f>
        <v>1632.448875</v>
      </c>
      <c r="V405" s="170">
        <f t="shared" si="58"/>
        <v>0</v>
      </c>
      <c r="W405" s="170"/>
      <c r="X405" s="170"/>
      <c r="Y405" s="173" t="e">
        <f t="shared" si="59"/>
        <v>#N/A</v>
      </c>
      <c r="AA405" s="173" t="e">
        <f t="shared" si="55"/>
        <v>#N/A</v>
      </c>
      <c r="AC405" s="173" t="s">
        <v>666</v>
      </c>
      <c r="AD405" s="173">
        <v>601.20000000000005</v>
      </c>
      <c r="AH405" s="173" t="e">
        <f t="shared" si="56"/>
        <v>#N/A</v>
      </c>
      <c r="AS405" s="173" t="e">
        <f t="shared" si="57"/>
        <v>#N/A</v>
      </c>
    </row>
    <row r="406" spans="1:45" s="173" customFormat="1" ht="36" customHeight="1" x14ac:dyDescent="0.9">
      <c r="A406" s="173">
        <v>1</v>
      </c>
      <c r="B406" s="91">
        <f>SUBTOTAL(103,$A$16:A406)</f>
        <v>358</v>
      </c>
      <c r="C406" s="90" t="s">
        <v>1263</v>
      </c>
      <c r="D406" s="185">
        <v>1962</v>
      </c>
      <c r="E406" s="185"/>
      <c r="F406" s="191" t="s">
        <v>273</v>
      </c>
      <c r="G406" s="185">
        <v>2</v>
      </c>
      <c r="H406" s="185">
        <v>1</v>
      </c>
      <c r="I406" s="189">
        <v>320</v>
      </c>
      <c r="J406" s="189">
        <v>311</v>
      </c>
      <c r="K406" s="189">
        <v>311</v>
      </c>
      <c r="L406" s="187">
        <v>21</v>
      </c>
      <c r="M406" s="185" t="s">
        <v>271</v>
      </c>
      <c r="N406" s="185" t="s">
        <v>275</v>
      </c>
      <c r="O406" s="188" t="s">
        <v>1334</v>
      </c>
      <c r="P406" s="189">
        <v>522383.64</v>
      </c>
      <c r="Q406" s="189">
        <v>0</v>
      </c>
      <c r="R406" s="189">
        <v>0</v>
      </c>
      <c r="S406" s="189">
        <f>P406-Q406-R406</f>
        <v>522383.64</v>
      </c>
      <c r="T406" s="189">
        <f t="shared" si="54"/>
        <v>1632.448875</v>
      </c>
      <c r="U406" s="189">
        <v>1632.448875</v>
      </c>
      <c r="V406" s="170">
        <f t="shared" si="58"/>
        <v>0</v>
      </c>
      <c r="W406" s="170"/>
      <c r="X406" s="170"/>
      <c r="Y406" s="173" t="e">
        <f t="shared" si="59"/>
        <v>#N/A</v>
      </c>
      <c r="AA406" s="173" t="e">
        <f t="shared" si="55"/>
        <v>#N/A</v>
      </c>
      <c r="AC406" s="173" t="s">
        <v>674</v>
      </c>
      <c r="AD406" s="173">
        <v>680</v>
      </c>
      <c r="AH406" s="173" t="e">
        <f t="shared" si="56"/>
        <v>#N/A</v>
      </c>
      <c r="AS406" s="173" t="e">
        <f t="shared" si="57"/>
        <v>#N/A</v>
      </c>
    </row>
    <row r="407" spans="1:45" s="173" customFormat="1" ht="36" customHeight="1" x14ac:dyDescent="0.9">
      <c r="B407" s="90" t="s">
        <v>865</v>
      </c>
      <c r="C407" s="192"/>
      <c r="D407" s="185" t="s">
        <v>915</v>
      </c>
      <c r="E407" s="185" t="s">
        <v>915</v>
      </c>
      <c r="F407" s="185" t="s">
        <v>915</v>
      </c>
      <c r="G407" s="185" t="s">
        <v>915</v>
      </c>
      <c r="H407" s="185" t="s">
        <v>915</v>
      </c>
      <c r="I407" s="186">
        <f>SUM(I408:I412)</f>
        <v>6463.98</v>
      </c>
      <c r="J407" s="186">
        <f>SUM(J408:J412)</f>
        <v>5846.45</v>
      </c>
      <c r="K407" s="186">
        <f>SUM(K408:K412)</f>
        <v>5322.1500000000005</v>
      </c>
      <c r="L407" s="187">
        <f>SUM(L408:L412)</f>
        <v>243</v>
      </c>
      <c r="M407" s="185" t="s">
        <v>915</v>
      </c>
      <c r="N407" s="185" t="s">
        <v>915</v>
      </c>
      <c r="O407" s="188" t="s">
        <v>915</v>
      </c>
      <c r="P407" s="186">
        <v>19350948.300000001</v>
      </c>
      <c r="Q407" s="186">
        <f>SUM(Q408:Q412)</f>
        <v>0</v>
      </c>
      <c r="R407" s="186">
        <f>SUM(R408:R412)</f>
        <v>0</v>
      </c>
      <c r="S407" s="186">
        <f>SUM(S408:S412)</f>
        <v>19350948.300000001</v>
      </c>
      <c r="T407" s="189">
        <f t="shared" si="54"/>
        <v>2993.6584426313202</v>
      </c>
      <c r="U407" s="189">
        <f>MAX(U408:U412)</f>
        <v>4812.6780483218945</v>
      </c>
      <c r="V407" s="170">
        <f t="shared" si="58"/>
        <v>1819.0196056905743</v>
      </c>
      <c r="W407" s="170"/>
      <c r="X407" s="170"/>
      <c r="Y407" s="173" t="e">
        <f t="shared" si="59"/>
        <v>#N/A</v>
      </c>
      <c r="AA407" s="173" t="e">
        <f t="shared" si="55"/>
        <v>#N/A</v>
      </c>
      <c r="AC407" s="173" t="s">
        <v>677</v>
      </c>
      <c r="AD407" s="173">
        <v>1100</v>
      </c>
      <c r="AH407" s="173" t="e">
        <f t="shared" si="56"/>
        <v>#N/A</v>
      </c>
      <c r="AS407" s="173" t="e">
        <f t="shared" si="57"/>
        <v>#N/A</v>
      </c>
    </row>
    <row r="408" spans="1:45" s="173" customFormat="1" ht="36" customHeight="1" x14ac:dyDescent="0.9">
      <c r="A408" s="173">
        <v>1</v>
      </c>
      <c r="B408" s="91">
        <f>SUBTOTAL(103,$A$16:A408)</f>
        <v>359</v>
      </c>
      <c r="C408" s="90" t="s">
        <v>108</v>
      </c>
      <c r="D408" s="185">
        <v>1961</v>
      </c>
      <c r="E408" s="185"/>
      <c r="F408" s="191" t="s">
        <v>273</v>
      </c>
      <c r="G408" s="185">
        <v>3</v>
      </c>
      <c r="H408" s="185">
        <v>2</v>
      </c>
      <c r="I408" s="189">
        <v>1048.3800000000001</v>
      </c>
      <c r="J408" s="189">
        <v>975.35</v>
      </c>
      <c r="K408" s="189">
        <v>930.75</v>
      </c>
      <c r="L408" s="187">
        <v>50</v>
      </c>
      <c r="M408" s="185" t="s">
        <v>271</v>
      </c>
      <c r="N408" s="185" t="s">
        <v>275</v>
      </c>
      <c r="O408" s="188" t="s">
        <v>1110</v>
      </c>
      <c r="P408" s="189">
        <v>2621954.33</v>
      </c>
      <c r="Q408" s="189">
        <v>0</v>
      </c>
      <c r="R408" s="189">
        <v>0</v>
      </c>
      <c r="S408" s="189">
        <f>P408-Q408-R408</f>
        <v>2621954.33</v>
      </c>
      <c r="T408" s="189">
        <f t="shared" si="54"/>
        <v>2500.9579827924986</v>
      </c>
      <c r="U408" s="189">
        <f>Y408</f>
        <v>2970.5655582899326</v>
      </c>
      <c r="V408" s="170">
        <f t="shared" si="58"/>
        <v>469.60757549743403</v>
      </c>
      <c r="W408" s="170"/>
      <c r="X408" s="170"/>
      <c r="Y408" s="173">
        <f t="shared" si="59"/>
        <v>2970.5655582899326</v>
      </c>
      <c r="AA408" s="173">
        <f t="shared" si="55"/>
        <v>596.4</v>
      </c>
      <c r="AC408" s="173" t="s">
        <v>784</v>
      </c>
      <c r="AD408" s="173">
        <v>900</v>
      </c>
      <c r="AH408" s="173" t="e">
        <f t="shared" si="56"/>
        <v>#N/A</v>
      </c>
      <c r="AS408" s="173" t="e">
        <f t="shared" si="57"/>
        <v>#N/A</v>
      </c>
    </row>
    <row r="409" spans="1:45" s="173" customFormat="1" ht="36" customHeight="1" x14ac:dyDescent="0.9">
      <c r="A409" s="173">
        <v>1</v>
      </c>
      <c r="B409" s="91">
        <f>SUBTOTAL(103,$A$16:A409)</f>
        <v>360</v>
      </c>
      <c r="C409" s="90" t="s">
        <v>110</v>
      </c>
      <c r="D409" s="185">
        <v>1977</v>
      </c>
      <c r="E409" s="185"/>
      <c r="F409" s="191" t="s">
        <v>273</v>
      </c>
      <c r="G409" s="185">
        <v>2</v>
      </c>
      <c r="H409" s="185">
        <v>3</v>
      </c>
      <c r="I409" s="189">
        <v>1063.7</v>
      </c>
      <c r="J409" s="189">
        <v>983.3</v>
      </c>
      <c r="K409" s="189">
        <v>887.9</v>
      </c>
      <c r="L409" s="187">
        <v>32</v>
      </c>
      <c r="M409" s="185" t="s">
        <v>271</v>
      </c>
      <c r="N409" s="185" t="s">
        <v>272</v>
      </c>
      <c r="O409" s="188" t="s">
        <v>274</v>
      </c>
      <c r="P409" s="189">
        <v>5119245.6399999997</v>
      </c>
      <c r="Q409" s="189">
        <v>0</v>
      </c>
      <c r="R409" s="189">
        <v>0</v>
      </c>
      <c r="S409" s="189">
        <f>P409-Q409-R409</f>
        <v>5119245.6399999997</v>
      </c>
      <c r="T409" s="189">
        <f t="shared" si="54"/>
        <v>4812.6780483218945</v>
      </c>
      <c r="U409" s="189">
        <f>T409</f>
        <v>4812.6780483218945</v>
      </c>
      <c r="V409" s="170">
        <f t="shared" si="58"/>
        <v>0</v>
      </c>
      <c r="W409" s="170"/>
      <c r="X409" s="170"/>
      <c r="Y409" s="173">
        <f t="shared" si="59"/>
        <v>4595.4000000000005</v>
      </c>
      <c r="AA409" s="173">
        <f t="shared" si="55"/>
        <v>936.1</v>
      </c>
      <c r="AC409" s="173" t="s">
        <v>710</v>
      </c>
      <c r="AD409" s="173">
        <v>644.5</v>
      </c>
      <c r="AH409" s="173" t="e">
        <f t="shared" si="56"/>
        <v>#N/A</v>
      </c>
      <c r="AS409" s="173" t="e">
        <f t="shared" si="57"/>
        <v>#N/A</v>
      </c>
    </row>
    <row r="410" spans="1:45" s="173" customFormat="1" ht="36" customHeight="1" x14ac:dyDescent="0.9">
      <c r="A410" s="173">
        <v>1</v>
      </c>
      <c r="B410" s="91">
        <f>SUBTOTAL(103,$A$16:A410)</f>
        <v>361</v>
      </c>
      <c r="C410" s="90" t="s">
        <v>1264</v>
      </c>
      <c r="D410" s="185">
        <v>1934</v>
      </c>
      <c r="E410" s="185"/>
      <c r="F410" s="191" t="s">
        <v>273</v>
      </c>
      <c r="G410" s="185">
        <v>2</v>
      </c>
      <c r="H410" s="185">
        <v>3</v>
      </c>
      <c r="I410" s="189">
        <v>987.5</v>
      </c>
      <c r="J410" s="189">
        <v>874</v>
      </c>
      <c r="K410" s="189">
        <v>837.7</v>
      </c>
      <c r="L410" s="187">
        <v>26</v>
      </c>
      <c r="M410" s="185" t="s">
        <v>271</v>
      </c>
      <c r="N410" s="185" t="s">
        <v>272</v>
      </c>
      <c r="O410" s="188" t="s">
        <v>274</v>
      </c>
      <c r="P410" s="189">
        <v>3913623.54</v>
      </c>
      <c r="Q410" s="189">
        <v>0</v>
      </c>
      <c r="R410" s="189">
        <v>0</v>
      </c>
      <c r="S410" s="189">
        <f>P410-Q410-R410</f>
        <v>3913623.54</v>
      </c>
      <c r="T410" s="189">
        <f t="shared" si="54"/>
        <v>3963.1630784810127</v>
      </c>
      <c r="U410" s="189">
        <f>Y410</f>
        <v>4269.4494379746839</v>
      </c>
      <c r="V410" s="170">
        <f t="shared" si="58"/>
        <v>306.28635949367117</v>
      </c>
      <c r="W410" s="170"/>
      <c r="X410" s="170"/>
      <c r="Y410" s="173">
        <f t="shared" si="59"/>
        <v>4269.4494379746839</v>
      </c>
      <c r="AA410" s="173">
        <f t="shared" si="55"/>
        <v>807.4</v>
      </c>
      <c r="AC410" s="173" t="s">
        <v>695</v>
      </c>
      <c r="AD410" s="173">
        <v>520</v>
      </c>
      <c r="AH410" s="173" t="e">
        <f t="shared" si="56"/>
        <v>#N/A</v>
      </c>
      <c r="AS410" s="173" t="e">
        <f t="shared" si="57"/>
        <v>#N/A</v>
      </c>
    </row>
    <row r="411" spans="1:45" s="173" customFormat="1" ht="36" customHeight="1" x14ac:dyDescent="0.9">
      <c r="A411" s="173">
        <v>1</v>
      </c>
      <c r="B411" s="91">
        <f>SUBTOTAL(103,$A$16:A411)</f>
        <v>362</v>
      </c>
      <c r="C411" s="90" t="s">
        <v>1265</v>
      </c>
      <c r="D411" s="185">
        <v>1985</v>
      </c>
      <c r="E411" s="185"/>
      <c r="F411" s="191" t="s">
        <v>273</v>
      </c>
      <c r="G411" s="185">
        <v>5</v>
      </c>
      <c r="H411" s="185">
        <v>4</v>
      </c>
      <c r="I411" s="189">
        <v>2915</v>
      </c>
      <c r="J411" s="189">
        <v>2619.4</v>
      </c>
      <c r="K411" s="189">
        <v>2310.6</v>
      </c>
      <c r="L411" s="187">
        <v>117</v>
      </c>
      <c r="M411" s="185" t="s">
        <v>271</v>
      </c>
      <c r="N411" s="185" t="s">
        <v>275</v>
      </c>
      <c r="O411" s="188" t="s">
        <v>1367</v>
      </c>
      <c r="P411" s="189">
        <v>6512672.1499999994</v>
      </c>
      <c r="Q411" s="189">
        <v>0</v>
      </c>
      <c r="R411" s="189">
        <v>0</v>
      </c>
      <c r="S411" s="189">
        <f>P411-Q411-R411</f>
        <v>6512672.1499999994</v>
      </c>
      <c r="T411" s="189">
        <f t="shared" si="54"/>
        <v>2234.1928473413377</v>
      </c>
      <c r="U411" s="189">
        <v>2234.1928473413377</v>
      </c>
      <c r="V411" s="170">
        <f t="shared" si="58"/>
        <v>0</v>
      </c>
      <c r="W411" s="170"/>
      <c r="X411" s="170"/>
      <c r="Y411" s="173" t="e">
        <f t="shared" si="59"/>
        <v>#N/A</v>
      </c>
      <c r="AA411" s="173" t="e">
        <f t="shared" si="55"/>
        <v>#N/A</v>
      </c>
      <c r="AC411" s="173" t="s">
        <v>702</v>
      </c>
      <c r="AD411" s="173">
        <v>700.14</v>
      </c>
      <c r="AH411" s="173" t="e">
        <f t="shared" si="56"/>
        <v>#N/A</v>
      </c>
      <c r="AS411" s="173" t="e">
        <f t="shared" si="57"/>
        <v>#N/A</v>
      </c>
    </row>
    <row r="412" spans="1:45" s="173" customFormat="1" ht="36" customHeight="1" x14ac:dyDescent="0.9">
      <c r="A412" s="173">
        <v>1</v>
      </c>
      <c r="B412" s="91">
        <f>SUBTOTAL(103,$A$16:A412)</f>
        <v>363</v>
      </c>
      <c r="C412" s="90" t="s">
        <v>1266</v>
      </c>
      <c r="D412" s="185">
        <v>1962</v>
      </c>
      <c r="E412" s="185"/>
      <c r="F412" s="191" t="s">
        <v>338</v>
      </c>
      <c r="G412" s="185">
        <v>2</v>
      </c>
      <c r="H412" s="185">
        <v>1</v>
      </c>
      <c r="I412" s="189">
        <v>449.4</v>
      </c>
      <c r="J412" s="189">
        <v>394.4</v>
      </c>
      <c r="K412" s="189">
        <v>355.2</v>
      </c>
      <c r="L412" s="187">
        <v>18</v>
      </c>
      <c r="M412" s="185" t="s">
        <v>271</v>
      </c>
      <c r="N412" s="185" t="s">
        <v>272</v>
      </c>
      <c r="O412" s="188" t="s">
        <v>274</v>
      </c>
      <c r="P412" s="189">
        <v>1183452.6399999999</v>
      </c>
      <c r="Q412" s="189">
        <v>0</v>
      </c>
      <c r="R412" s="189">
        <v>0</v>
      </c>
      <c r="S412" s="189">
        <f>P412-Q412-R412</f>
        <v>1183452.6399999999</v>
      </c>
      <c r="T412" s="189">
        <f t="shared" si="54"/>
        <v>2633.4059635068979</v>
      </c>
      <c r="U412" s="189">
        <f>Y412</f>
        <v>3892.5300400534047</v>
      </c>
      <c r="V412" s="170">
        <f t="shared" si="58"/>
        <v>1259.1240765465068</v>
      </c>
      <c r="W412" s="170"/>
      <c r="X412" s="170"/>
      <c r="Y412" s="173">
        <f t="shared" si="59"/>
        <v>3892.5300400534047</v>
      </c>
      <c r="AA412" s="173">
        <f t="shared" si="55"/>
        <v>335</v>
      </c>
      <c r="AC412" s="173" t="s">
        <v>680</v>
      </c>
      <c r="AD412" s="173">
        <v>1107</v>
      </c>
      <c r="AH412" s="173" t="e">
        <f t="shared" si="56"/>
        <v>#N/A</v>
      </c>
      <c r="AS412" s="173" t="e">
        <f t="shared" si="57"/>
        <v>#N/A</v>
      </c>
    </row>
    <row r="413" spans="1:45" s="173" customFormat="1" ht="36" customHeight="1" x14ac:dyDescent="0.9">
      <c r="B413" s="90" t="s">
        <v>866</v>
      </c>
      <c r="C413" s="192"/>
      <c r="D413" s="185" t="s">
        <v>915</v>
      </c>
      <c r="E413" s="185" t="s">
        <v>915</v>
      </c>
      <c r="F413" s="185" t="s">
        <v>915</v>
      </c>
      <c r="G413" s="185" t="s">
        <v>915</v>
      </c>
      <c r="H413" s="185" t="s">
        <v>915</v>
      </c>
      <c r="I413" s="186">
        <f>I414</f>
        <v>2767.4</v>
      </c>
      <c r="J413" s="186">
        <f>J414</f>
        <v>2688.6</v>
      </c>
      <c r="K413" s="186">
        <f>K414</f>
        <v>1642.8</v>
      </c>
      <c r="L413" s="187">
        <f>L414</f>
        <v>148</v>
      </c>
      <c r="M413" s="185" t="s">
        <v>915</v>
      </c>
      <c r="N413" s="185" t="s">
        <v>915</v>
      </c>
      <c r="O413" s="188" t="s">
        <v>915</v>
      </c>
      <c r="P413" s="189">
        <v>5141890.2</v>
      </c>
      <c r="Q413" s="189">
        <f>Q414</f>
        <v>0</v>
      </c>
      <c r="R413" s="189">
        <f>R414</f>
        <v>3768516.65</v>
      </c>
      <c r="S413" s="189">
        <f>S414</f>
        <v>1373373.5500000003</v>
      </c>
      <c r="T413" s="189">
        <f t="shared" si="54"/>
        <v>1858.0220423502203</v>
      </c>
      <c r="U413" s="189">
        <f>U414</f>
        <v>2094.4561682445615</v>
      </c>
      <c r="V413" s="170">
        <f t="shared" si="58"/>
        <v>236.43412589434115</v>
      </c>
      <c r="W413" s="170"/>
      <c r="X413" s="170"/>
      <c r="Y413" s="173" t="e">
        <f t="shared" si="59"/>
        <v>#N/A</v>
      </c>
      <c r="AA413" s="173" t="e">
        <f t="shared" si="55"/>
        <v>#N/A</v>
      </c>
      <c r="AC413" s="173" t="s">
        <v>708</v>
      </c>
      <c r="AD413" s="173">
        <v>780</v>
      </c>
      <c r="AH413" s="173" t="e">
        <f t="shared" si="56"/>
        <v>#N/A</v>
      </c>
      <c r="AS413" s="173" t="e">
        <f t="shared" si="57"/>
        <v>#N/A</v>
      </c>
    </row>
    <row r="414" spans="1:45" s="173" customFormat="1" ht="36" customHeight="1" x14ac:dyDescent="0.9">
      <c r="A414" s="173">
        <v>1</v>
      </c>
      <c r="B414" s="91">
        <f>SUBTOTAL(103,$A$16:A414)</f>
        <v>364</v>
      </c>
      <c r="C414" s="90" t="s">
        <v>40</v>
      </c>
      <c r="D414" s="185">
        <v>1979</v>
      </c>
      <c r="E414" s="185"/>
      <c r="F414" s="191" t="s">
        <v>273</v>
      </c>
      <c r="G414" s="185">
        <v>5</v>
      </c>
      <c r="H414" s="185">
        <v>4</v>
      </c>
      <c r="I414" s="189">
        <v>2767.4</v>
      </c>
      <c r="J414" s="189">
        <v>2688.6</v>
      </c>
      <c r="K414" s="189">
        <v>1642.8</v>
      </c>
      <c r="L414" s="187">
        <v>148</v>
      </c>
      <c r="M414" s="185" t="s">
        <v>271</v>
      </c>
      <c r="N414" s="185" t="s">
        <v>272</v>
      </c>
      <c r="O414" s="188" t="s">
        <v>274</v>
      </c>
      <c r="P414" s="189">
        <v>5141890.2</v>
      </c>
      <c r="Q414" s="189">
        <v>0</v>
      </c>
      <c r="R414" s="189">
        <v>3768516.65</v>
      </c>
      <c r="S414" s="189">
        <f>P414-Q414-R414</f>
        <v>1373373.5500000003</v>
      </c>
      <c r="T414" s="189">
        <f t="shared" si="54"/>
        <v>1858.0220423502203</v>
      </c>
      <c r="U414" s="189">
        <f>Y414</f>
        <v>2094.4561682445615</v>
      </c>
      <c r="V414" s="170">
        <f t="shared" si="58"/>
        <v>236.43412589434115</v>
      </c>
      <c r="W414" s="170"/>
      <c r="X414" s="170"/>
      <c r="Y414" s="173">
        <f t="shared" si="59"/>
        <v>2094.4561682445615</v>
      </c>
      <c r="AA414" s="173">
        <f t="shared" si="55"/>
        <v>1110</v>
      </c>
      <c r="AC414" s="173" t="s">
        <v>685</v>
      </c>
      <c r="AD414" s="173">
        <v>710</v>
      </c>
      <c r="AH414" s="173" t="e">
        <f t="shared" si="56"/>
        <v>#N/A</v>
      </c>
      <c r="AS414" s="173" t="e">
        <f t="shared" si="57"/>
        <v>#N/A</v>
      </c>
    </row>
    <row r="415" spans="1:45" s="173" customFormat="1" ht="36" customHeight="1" x14ac:dyDescent="0.9">
      <c r="B415" s="90" t="s">
        <v>867</v>
      </c>
      <c r="C415" s="90"/>
      <c r="D415" s="185" t="s">
        <v>915</v>
      </c>
      <c r="E415" s="185" t="s">
        <v>915</v>
      </c>
      <c r="F415" s="185" t="s">
        <v>915</v>
      </c>
      <c r="G415" s="185" t="s">
        <v>915</v>
      </c>
      <c r="H415" s="185" t="s">
        <v>915</v>
      </c>
      <c r="I415" s="186">
        <f>SUM(I416:I419)</f>
        <v>21697.839999999997</v>
      </c>
      <c r="J415" s="186">
        <f>SUM(J416:J419)</f>
        <v>16236.63</v>
      </c>
      <c r="K415" s="186">
        <f>SUM(K416:K419)</f>
        <v>11477.43</v>
      </c>
      <c r="L415" s="187">
        <f>SUM(L416:L419)</f>
        <v>751</v>
      </c>
      <c r="M415" s="185" t="s">
        <v>915</v>
      </c>
      <c r="N415" s="185" t="s">
        <v>915</v>
      </c>
      <c r="O415" s="188" t="s">
        <v>915</v>
      </c>
      <c r="P415" s="186">
        <v>21692861.549999997</v>
      </c>
      <c r="Q415" s="186">
        <f>SUM(Q416:Q419)</f>
        <v>0</v>
      </c>
      <c r="R415" s="186">
        <f>SUM(R416:R419)</f>
        <v>0</v>
      </c>
      <c r="S415" s="186">
        <f>SUM(S416:S419)</f>
        <v>21692861.549999997</v>
      </c>
      <c r="T415" s="189">
        <f t="shared" si="54"/>
        <v>999.77055550229886</v>
      </c>
      <c r="U415" s="189">
        <f>MAX(U416:U419)</f>
        <v>3255.8500000000004</v>
      </c>
      <c r="V415" s="170">
        <f t="shared" si="58"/>
        <v>2256.0794444977014</v>
      </c>
      <c r="W415" s="170"/>
      <c r="X415" s="170"/>
      <c r="Y415" s="173" t="e">
        <f t="shared" si="59"/>
        <v>#N/A</v>
      </c>
      <c r="AA415" s="173" t="e">
        <f t="shared" si="55"/>
        <v>#N/A</v>
      </c>
      <c r="AC415" s="173" t="s">
        <v>690</v>
      </c>
      <c r="AD415" s="173">
        <v>750</v>
      </c>
      <c r="AH415" s="173" t="e">
        <f t="shared" si="56"/>
        <v>#N/A</v>
      </c>
      <c r="AS415" s="173" t="e">
        <f t="shared" si="57"/>
        <v>#N/A</v>
      </c>
    </row>
    <row r="416" spans="1:45" s="173" customFormat="1" ht="36" customHeight="1" x14ac:dyDescent="0.9">
      <c r="A416" s="173">
        <v>1</v>
      </c>
      <c r="B416" s="91">
        <f>SUBTOTAL(103,$A$16:A416)</f>
        <v>365</v>
      </c>
      <c r="C416" s="90" t="s">
        <v>63</v>
      </c>
      <c r="D416" s="185">
        <v>1976</v>
      </c>
      <c r="E416" s="185"/>
      <c r="F416" s="191" t="s">
        <v>273</v>
      </c>
      <c r="G416" s="185">
        <v>5</v>
      </c>
      <c r="H416" s="185">
        <v>6</v>
      </c>
      <c r="I416" s="189">
        <v>4783.1499999999996</v>
      </c>
      <c r="J416" s="189">
        <v>4417.7</v>
      </c>
      <c r="K416" s="189">
        <v>3106.56</v>
      </c>
      <c r="L416" s="187">
        <v>188</v>
      </c>
      <c r="M416" s="185" t="s">
        <v>271</v>
      </c>
      <c r="N416" s="185" t="s">
        <v>275</v>
      </c>
      <c r="O416" s="188" t="s">
        <v>276</v>
      </c>
      <c r="P416" s="189">
        <v>6351854.879999999</v>
      </c>
      <c r="Q416" s="189">
        <v>0</v>
      </c>
      <c r="R416" s="189">
        <v>0</v>
      </c>
      <c r="S416" s="189">
        <f>P416-Q416-R416</f>
        <v>6351854.879999999</v>
      </c>
      <c r="T416" s="189">
        <f t="shared" si="54"/>
        <v>1327.9648098010723</v>
      </c>
      <c r="U416" s="189">
        <f>Y416</f>
        <v>1550.2244336890963</v>
      </c>
      <c r="V416" s="170">
        <f t="shared" si="58"/>
        <v>222.25962388802395</v>
      </c>
      <c r="W416" s="170"/>
      <c r="X416" s="170"/>
      <c r="Y416" s="173">
        <f t="shared" si="59"/>
        <v>1550.2244336890963</v>
      </c>
      <c r="AA416" s="173">
        <f t="shared" si="55"/>
        <v>1420</v>
      </c>
      <c r="AC416" s="173" t="s">
        <v>689</v>
      </c>
      <c r="AD416" s="173">
        <v>705.5</v>
      </c>
      <c r="AH416" s="173" t="e">
        <f t="shared" si="56"/>
        <v>#N/A</v>
      </c>
      <c r="AS416" s="173" t="e">
        <f t="shared" si="57"/>
        <v>#N/A</v>
      </c>
    </row>
    <row r="417" spans="1:45" s="173" customFormat="1" ht="36" customHeight="1" x14ac:dyDescent="0.9">
      <c r="A417" s="173">
        <v>1</v>
      </c>
      <c r="B417" s="91">
        <f>SUBTOTAL(103,$A$16:A417)</f>
        <v>366</v>
      </c>
      <c r="C417" s="90" t="s">
        <v>1279</v>
      </c>
      <c r="D417" s="185">
        <v>1969</v>
      </c>
      <c r="E417" s="185"/>
      <c r="F417" s="191" t="s">
        <v>273</v>
      </c>
      <c r="G417" s="185">
        <v>5</v>
      </c>
      <c r="H417" s="185">
        <v>6</v>
      </c>
      <c r="I417" s="189">
        <v>3852.2</v>
      </c>
      <c r="J417" s="189">
        <v>2261.6999999999998</v>
      </c>
      <c r="K417" s="189">
        <v>1274.48</v>
      </c>
      <c r="L417" s="187">
        <v>143</v>
      </c>
      <c r="M417" s="185" t="s">
        <v>271</v>
      </c>
      <c r="N417" s="185" t="s">
        <v>275</v>
      </c>
      <c r="O417" s="188" t="s">
        <v>1330</v>
      </c>
      <c r="P417" s="189">
        <v>3789390.1299999994</v>
      </c>
      <c r="Q417" s="189">
        <v>0</v>
      </c>
      <c r="R417" s="189">
        <v>0</v>
      </c>
      <c r="S417" s="189">
        <f>P417-Q417-R417</f>
        <v>3789390.1299999994</v>
      </c>
      <c r="T417" s="189">
        <f t="shared" si="54"/>
        <v>983.69506515757223</v>
      </c>
      <c r="U417" s="189">
        <v>3255.8500000000004</v>
      </c>
      <c r="V417" s="170">
        <f t="shared" si="58"/>
        <v>2272.1549348424282</v>
      </c>
      <c r="W417" s="170"/>
      <c r="X417" s="170"/>
      <c r="Y417" s="173" t="e">
        <f t="shared" si="59"/>
        <v>#N/A</v>
      </c>
      <c r="AA417" s="173" t="e">
        <f t="shared" si="55"/>
        <v>#N/A</v>
      </c>
      <c r="AC417" s="173" t="s">
        <v>240</v>
      </c>
      <c r="AD417" s="173">
        <v>1509</v>
      </c>
      <c r="AH417" s="173" t="e">
        <f t="shared" si="56"/>
        <v>#N/A</v>
      </c>
      <c r="AS417" s="173" t="e">
        <f t="shared" si="57"/>
        <v>#N/A</v>
      </c>
    </row>
    <row r="418" spans="1:45" s="173" customFormat="1" ht="36" customHeight="1" x14ac:dyDescent="0.9">
      <c r="A418" s="173">
        <v>1</v>
      </c>
      <c r="B418" s="91">
        <f>SUBTOTAL(103,$A$16:A418)</f>
        <v>367</v>
      </c>
      <c r="C418" s="90" t="s">
        <v>1596</v>
      </c>
      <c r="D418" s="185">
        <v>1971</v>
      </c>
      <c r="E418" s="185"/>
      <c r="F418" s="191" t="s">
        <v>273</v>
      </c>
      <c r="G418" s="185">
        <v>5</v>
      </c>
      <c r="H418" s="185">
        <v>6</v>
      </c>
      <c r="I418" s="189">
        <v>5891.74</v>
      </c>
      <c r="J418" s="189">
        <v>4464.33</v>
      </c>
      <c r="K418" s="189">
        <v>4081.34</v>
      </c>
      <c r="L418" s="187">
        <v>207</v>
      </c>
      <c r="M418" s="185" t="s">
        <v>271</v>
      </c>
      <c r="N418" s="185" t="s">
        <v>275</v>
      </c>
      <c r="O418" s="188" t="s">
        <v>1330</v>
      </c>
      <c r="P418" s="189">
        <v>5709104.1399999997</v>
      </c>
      <c r="Q418" s="189">
        <v>0</v>
      </c>
      <c r="R418" s="189">
        <v>0</v>
      </c>
      <c r="S418" s="189">
        <f>P418-R418-Q418</f>
        <v>5709104.1399999997</v>
      </c>
      <c r="T418" s="189">
        <f t="shared" si="54"/>
        <v>969.00137141150151</v>
      </c>
      <c r="U418" s="189">
        <f>Y418</f>
        <v>1179.6541938374742</v>
      </c>
      <c r="V418" s="170">
        <f t="shared" si="58"/>
        <v>210.65282242597266</v>
      </c>
      <c r="W418" s="170"/>
      <c r="X418" s="170"/>
      <c r="Y418" s="173">
        <f t="shared" si="59"/>
        <v>1179.6541938374742</v>
      </c>
      <c r="AA418" s="173">
        <f t="shared" si="55"/>
        <v>1331</v>
      </c>
      <c r="AC418" s="173" t="s">
        <v>1654</v>
      </c>
      <c r="AD418" s="173">
        <v>280</v>
      </c>
      <c r="AH418" s="173" t="e">
        <f t="shared" si="56"/>
        <v>#N/A</v>
      </c>
      <c r="AS418" s="173" t="e">
        <f t="shared" si="57"/>
        <v>#N/A</v>
      </c>
    </row>
    <row r="419" spans="1:45" s="173" customFormat="1" ht="36" customHeight="1" x14ac:dyDescent="0.9">
      <c r="A419" s="173">
        <v>1</v>
      </c>
      <c r="B419" s="91">
        <f>SUBTOTAL(103,$A$16:A419)</f>
        <v>368</v>
      </c>
      <c r="C419" s="90" t="s">
        <v>52</v>
      </c>
      <c r="D419" s="185">
        <v>1981</v>
      </c>
      <c r="E419" s="185"/>
      <c r="F419" s="191" t="s">
        <v>273</v>
      </c>
      <c r="G419" s="185">
        <v>5</v>
      </c>
      <c r="H419" s="185">
        <v>8</v>
      </c>
      <c r="I419" s="189">
        <v>7170.75</v>
      </c>
      <c r="J419" s="189">
        <v>5092.8999999999996</v>
      </c>
      <c r="K419" s="189">
        <v>3015.05</v>
      </c>
      <c r="L419" s="187">
        <v>213</v>
      </c>
      <c r="M419" s="185" t="s">
        <v>271</v>
      </c>
      <c r="N419" s="185" t="s">
        <v>275</v>
      </c>
      <c r="O419" s="188" t="s">
        <v>276</v>
      </c>
      <c r="P419" s="189">
        <v>5842512.4000000004</v>
      </c>
      <c r="Q419" s="189">
        <v>0</v>
      </c>
      <c r="R419" s="189">
        <v>0</v>
      </c>
      <c r="S419" s="189">
        <f>P419-R419-Q419</f>
        <v>5842512.4000000004</v>
      </c>
      <c r="T419" s="189">
        <f t="shared" si="54"/>
        <v>814.7700589199178</v>
      </c>
      <c r="U419" s="189">
        <f>Y419</f>
        <v>991.09155946030751</v>
      </c>
      <c r="V419" s="170">
        <f t="shared" si="58"/>
        <v>176.32150054038971</v>
      </c>
      <c r="W419" s="170"/>
      <c r="X419" s="170"/>
      <c r="Y419" s="173">
        <f t="shared" si="59"/>
        <v>991.09155946030751</v>
      </c>
      <c r="AA419" s="173">
        <f t="shared" si="55"/>
        <v>1361</v>
      </c>
      <c r="AC419" s="173" t="s">
        <v>247</v>
      </c>
      <c r="AD419" s="173">
        <v>442.2</v>
      </c>
      <c r="AH419" s="173" t="e">
        <f t="shared" si="56"/>
        <v>#N/A</v>
      </c>
      <c r="AS419" s="173" t="e">
        <f t="shared" si="57"/>
        <v>#N/A</v>
      </c>
    </row>
    <row r="420" spans="1:45" s="173" customFormat="1" ht="36" customHeight="1" x14ac:dyDescent="0.9">
      <c r="B420" s="90" t="s">
        <v>868</v>
      </c>
      <c r="C420" s="90"/>
      <c r="D420" s="185" t="s">
        <v>915</v>
      </c>
      <c r="E420" s="185" t="s">
        <v>915</v>
      </c>
      <c r="F420" s="185" t="s">
        <v>915</v>
      </c>
      <c r="G420" s="185" t="s">
        <v>915</v>
      </c>
      <c r="H420" s="185" t="s">
        <v>915</v>
      </c>
      <c r="I420" s="186">
        <f>SUM(I421:I427)</f>
        <v>21187.5</v>
      </c>
      <c r="J420" s="186">
        <f>SUM(J421:J427)</f>
        <v>16500.03</v>
      </c>
      <c r="K420" s="186">
        <f>SUM(K421:K427)</f>
        <v>14836.630000000001</v>
      </c>
      <c r="L420" s="187">
        <f>SUM(L421:L427)</f>
        <v>986</v>
      </c>
      <c r="M420" s="185" t="s">
        <v>915</v>
      </c>
      <c r="N420" s="185" t="s">
        <v>915</v>
      </c>
      <c r="O420" s="188" t="s">
        <v>915</v>
      </c>
      <c r="P420" s="186">
        <v>33530692.979999997</v>
      </c>
      <c r="Q420" s="186">
        <f>SUM(Q421:Q427)</f>
        <v>0</v>
      </c>
      <c r="R420" s="186">
        <f>SUM(R421:R427)</f>
        <v>0</v>
      </c>
      <c r="S420" s="186">
        <f>SUM(S421:S427)</f>
        <v>33530692.979999997</v>
      </c>
      <c r="T420" s="189">
        <f t="shared" si="54"/>
        <v>1582.5695801769909</v>
      </c>
      <c r="U420" s="189">
        <f>MAX(U421:U427)</f>
        <v>5478.6765583599454</v>
      </c>
      <c r="V420" s="170">
        <f t="shared" si="58"/>
        <v>3896.1069781829547</v>
      </c>
      <c r="W420" s="170"/>
      <c r="X420" s="170"/>
      <c r="Y420" s="173" t="e">
        <f t="shared" si="59"/>
        <v>#N/A</v>
      </c>
      <c r="AA420" s="173" t="e">
        <f t="shared" si="55"/>
        <v>#N/A</v>
      </c>
      <c r="AC420" s="173" t="s">
        <v>2</v>
      </c>
      <c r="AD420" s="173">
        <v>500</v>
      </c>
      <c r="AH420" s="173" t="e">
        <f t="shared" si="56"/>
        <v>#N/A</v>
      </c>
      <c r="AS420" s="173" t="e">
        <f t="shared" si="57"/>
        <v>#N/A</v>
      </c>
    </row>
    <row r="421" spans="1:45" s="173" customFormat="1" ht="36" customHeight="1" x14ac:dyDescent="0.9">
      <c r="A421" s="173">
        <v>1</v>
      </c>
      <c r="B421" s="91">
        <f>SUBTOTAL(103,$A$16:A421)</f>
        <v>369</v>
      </c>
      <c r="C421" s="90" t="s">
        <v>47</v>
      </c>
      <c r="D421" s="185">
        <v>1964</v>
      </c>
      <c r="E421" s="185"/>
      <c r="F421" s="191" t="s">
        <v>273</v>
      </c>
      <c r="G421" s="185">
        <v>3</v>
      </c>
      <c r="H421" s="185">
        <v>2</v>
      </c>
      <c r="I421" s="189">
        <v>961.6</v>
      </c>
      <c r="J421" s="189">
        <v>723.4</v>
      </c>
      <c r="K421" s="189">
        <v>723.4</v>
      </c>
      <c r="L421" s="187">
        <v>26</v>
      </c>
      <c r="M421" s="185" t="s">
        <v>271</v>
      </c>
      <c r="N421" s="185" t="s">
        <v>275</v>
      </c>
      <c r="O421" s="188" t="s">
        <v>277</v>
      </c>
      <c r="P421" s="189">
        <v>3249292.7</v>
      </c>
      <c r="Q421" s="189">
        <v>0</v>
      </c>
      <c r="R421" s="189">
        <v>0</v>
      </c>
      <c r="S421" s="189">
        <f t="shared" ref="S421:S427" si="60">P421-Q421-R421</f>
        <v>3249292.7</v>
      </c>
      <c r="T421" s="189">
        <f t="shared" si="54"/>
        <v>3379.0481489184695</v>
      </c>
      <c r="U421" s="189">
        <f>Y421</f>
        <v>3403.1843386023297</v>
      </c>
      <c r="V421" s="170">
        <f t="shared" si="58"/>
        <v>24.136189683860266</v>
      </c>
      <c r="W421" s="170"/>
      <c r="X421" s="170"/>
      <c r="Y421" s="173">
        <f t="shared" si="59"/>
        <v>3403.1843386023297</v>
      </c>
      <c r="AA421" s="173">
        <f t="shared" si="55"/>
        <v>626.70000000000005</v>
      </c>
      <c r="AC421" s="173" t="s">
        <v>1</v>
      </c>
      <c r="AD421" s="173">
        <v>600</v>
      </c>
      <c r="AH421" s="173" t="e">
        <f t="shared" si="56"/>
        <v>#N/A</v>
      </c>
      <c r="AS421" s="173" t="e">
        <f t="shared" si="57"/>
        <v>#N/A</v>
      </c>
    </row>
    <row r="422" spans="1:45" s="173" customFormat="1" ht="36" customHeight="1" x14ac:dyDescent="0.9">
      <c r="A422" s="173">
        <v>1</v>
      </c>
      <c r="B422" s="91">
        <f>SUBTOTAL(103,$A$16:A422)</f>
        <v>370</v>
      </c>
      <c r="C422" s="90" t="s">
        <v>821</v>
      </c>
      <c r="D422" s="185">
        <v>1989</v>
      </c>
      <c r="E422" s="185"/>
      <c r="F422" s="191" t="s">
        <v>273</v>
      </c>
      <c r="G422" s="185">
        <v>4</v>
      </c>
      <c r="H422" s="185">
        <v>1</v>
      </c>
      <c r="I422" s="189">
        <v>1871.3</v>
      </c>
      <c r="J422" s="189">
        <v>779.1</v>
      </c>
      <c r="K422" s="189">
        <v>779.1</v>
      </c>
      <c r="L422" s="187">
        <v>88</v>
      </c>
      <c r="M422" s="185" t="s">
        <v>271</v>
      </c>
      <c r="N422" s="185" t="s">
        <v>272</v>
      </c>
      <c r="O422" s="188" t="s">
        <v>274</v>
      </c>
      <c r="P422" s="189">
        <v>3243925.67</v>
      </c>
      <c r="Q422" s="189">
        <v>0</v>
      </c>
      <c r="R422" s="189">
        <v>0</v>
      </c>
      <c r="S422" s="189">
        <f t="shared" si="60"/>
        <v>3243925.67</v>
      </c>
      <c r="T422" s="189">
        <f t="shared" si="54"/>
        <v>1733.5144925987281</v>
      </c>
      <c r="U422" s="189">
        <f>Y422</f>
        <v>1797.0604392668199</v>
      </c>
      <c r="V422" s="170">
        <f t="shared" si="58"/>
        <v>63.545946668091801</v>
      </c>
      <c r="W422" s="170"/>
      <c r="X422" s="170"/>
      <c r="Y422" s="173">
        <f t="shared" si="59"/>
        <v>1797.0604392668199</v>
      </c>
      <c r="AA422" s="173">
        <f t="shared" si="55"/>
        <v>644</v>
      </c>
      <c r="AC422" s="173" t="s">
        <v>718</v>
      </c>
      <c r="AD422" s="173">
        <v>2000</v>
      </c>
      <c r="AH422" s="173" t="e">
        <f t="shared" si="56"/>
        <v>#N/A</v>
      </c>
      <c r="AS422" s="173" t="e">
        <f t="shared" si="57"/>
        <v>#N/A</v>
      </c>
    </row>
    <row r="423" spans="1:45" s="173" customFormat="1" ht="36" customHeight="1" x14ac:dyDescent="0.9">
      <c r="A423" s="173">
        <v>1</v>
      </c>
      <c r="B423" s="91">
        <f>SUBTOTAL(103,$A$16:A423)</f>
        <v>371</v>
      </c>
      <c r="C423" s="90" t="s">
        <v>1267</v>
      </c>
      <c r="D423" s="185">
        <v>1977</v>
      </c>
      <c r="E423" s="185"/>
      <c r="F423" s="191" t="s">
        <v>273</v>
      </c>
      <c r="G423" s="185">
        <v>5</v>
      </c>
      <c r="H423" s="185">
        <v>4</v>
      </c>
      <c r="I423" s="189">
        <v>3403.05</v>
      </c>
      <c r="J423" s="189">
        <v>3132.12</v>
      </c>
      <c r="K423" s="189">
        <v>3132.12</v>
      </c>
      <c r="L423" s="187">
        <v>182</v>
      </c>
      <c r="M423" s="185" t="s">
        <v>271</v>
      </c>
      <c r="N423" s="185" t="s">
        <v>275</v>
      </c>
      <c r="O423" s="188" t="s">
        <v>1332</v>
      </c>
      <c r="P423" s="189">
        <v>5055398.59</v>
      </c>
      <c r="Q423" s="189">
        <v>0</v>
      </c>
      <c r="R423" s="189">
        <v>0</v>
      </c>
      <c r="S423" s="189">
        <f t="shared" si="60"/>
        <v>5055398.59</v>
      </c>
      <c r="T423" s="189">
        <f t="shared" si="54"/>
        <v>1485.549313116175</v>
      </c>
      <c r="U423" s="189">
        <v>3255.8500000000004</v>
      </c>
      <c r="V423" s="170">
        <f t="shared" si="58"/>
        <v>1770.3006868838254</v>
      </c>
      <c r="W423" s="170"/>
      <c r="X423" s="170"/>
      <c r="Y423" s="173" t="e">
        <f t="shared" si="59"/>
        <v>#N/A</v>
      </c>
      <c r="AA423" s="173" t="e">
        <f t="shared" si="55"/>
        <v>#N/A</v>
      </c>
      <c r="AC423" s="173" t="s">
        <v>724</v>
      </c>
      <c r="AD423" s="173">
        <v>600</v>
      </c>
      <c r="AH423" s="173" t="e">
        <f t="shared" si="56"/>
        <v>#N/A</v>
      </c>
      <c r="AS423" s="173" t="e">
        <f t="shared" si="57"/>
        <v>#N/A</v>
      </c>
    </row>
    <row r="424" spans="1:45" s="173" customFormat="1" ht="36" customHeight="1" x14ac:dyDescent="0.9">
      <c r="A424" s="173">
        <v>1</v>
      </c>
      <c r="B424" s="91">
        <f>SUBTOTAL(103,$A$16:A424)</f>
        <v>372</v>
      </c>
      <c r="C424" s="90" t="s">
        <v>1268</v>
      </c>
      <c r="D424" s="185">
        <v>1992</v>
      </c>
      <c r="E424" s="185"/>
      <c r="F424" s="191" t="s">
        <v>273</v>
      </c>
      <c r="G424" s="185">
        <v>5</v>
      </c>
      <c r="H424" s="185">
        <v>5</v>
      </c>
      <c r="I424" s="189">
        <v>3685.4</v>
      </c>
      <c r="J424" s="189">
        <v>3322.7</v>
      </c>
      <c r="K424" s="189">
        <v>3214.1</v>
      </c>
      <c r="L424" s="187">
        <v>157</v>
      </c>
      <c r="M424" s="185" t="s">
        <v>271</v>
      </c>
      <c r="N424" s="185" t="s">
        <v>275</v>
      </c>
      <c r="O424" s="188" t="s">
        <v>1332</v>
      </c>
      <c r="P424" s="189">
        <v>5685725.29</v>
      </c>
      <c r="Q424" s="189">
        <v>0</v>
      </c>
      <c r="R424" s="189">
        <v>0</v>
      </c>
      <c r="S424" s="189">
        <f t="shared" si="60"/>
        <v>5685725.29</v>
      </c>
      <c r="T424" s="189">
        <f t="shared" si="54"/>
        <v>1542.770198621588</v>
      </c>
      <c r="U424" s="189">
        <v>3255.8500000000004</v>
      </c>
      <c r="V424" s="170">
        <f t="shared" si="58"/>
        <v>1713.0798013784124</v>
      </c>
      <c r="W424" s="170"/>
      <c r="X424" s="170"/>
      <c r="Y424" s="173" t="e">
        <f t="shared" si="59"/>
        <v>#N/A</v>
      </c>
      <c r="AA424" s="173" t="e">
        <f t="shared" si="55"/>
        <v>#N/A</v>
      </c>
      <c r="AC424" s="173" t="s">
        <v>721</v>
      </c>
      <c r="AD424" s="173">
        <v>702</v>
      </c>
      <c r="AH424" s="173" t="e">
        <f t="shared" si="56"/>
        <v>#N/A</v>
      </c>
      <c r="AS424" s="173" t="e">
        <f t="shared" si="57"/>
        <v>#N/A</v>
      </c>
    </row>
    <row r="425" spans="1:45" s="173" customFormat="1" ht="36" customHeight="1" x14ac:dyDescent="0.9">
      <c r="A425" s="173">
        <v>1</v>
      </c>
      <c r="B425" s="91">
        <f>SUBTOTAL(103,$A$16:A425)</f>
        <v>373</v>
      </c>
      <c r="C425" s="90" t="s">
        <v>1269</v>
      </c>
      <c r="D425" s="185">
        <v>1970</v>
      </c>
      <c r="E425" s="185"/>
      <c r="F425" s="191" t="s">
        <v>273</v>
      </c>
      <c r="G425" s="185">
        <v>5</v>
      </c>
      <c r="H425" s="185">
        <v>3</v>
      </c>
      <c r="I425" s="189">
        <v>3891.1</v>
      </c>
      <c r="J425" s="189">
        <v>2505.5</v>
      </c>
      <c r="K425" s="189">
        <v>950.7</v>
      </c>
      <c r="L425" s="187">
        <v>253</v>
      </c>
      <c r="M425" s="185" t="s">
        <v>271</v>
      </c>
      <c r="N425" s="185" t="s">
        <v>275</v>
      </c>
      <c r="O425" s="188" t="s">
        <v>1332</v>
      </c>
      <c r="P425" s="189">
        <v>3267591.73</v>
      </c>
      <c r="Q425" s="189">
        <v>0</v>
      </c>
      <c r="R425" s="189">
        <v>0</v>
      </c>
      <c r="S425" s="189">
        <f t="shared" si="60"/>
        <v>3267591.73</v>
      </c>
      <c r="T425" s="189">
        <f t="shared" si="54"/>
        <v>839.76040965279742</v>
      </c>
      <c r="U425" s="189">
        <v>2753.19</v>
      </c>
      <c r="V425" s="170">
        <f t="shared" si="58"/>
        <v>1913.4295903472025</v>
      </c>
      <c r="W425" s="170"/>
      <c r="X425" s="170"/>
      <c r="Y425" s="173" t="e">
        <f t="shared" si="59"/>
        <v>#N/A</v>
      </c>
      <c r="AA425" s="173" t="e">
        <f t="shared" si="55"/>
        <v>#N/A</v>
      </c>
      <c r="AC425" s="173" t="s">
        <v>124</v>
      </c>
      <c r="AD425" s="173">
        <v>662.5</v>
      </c>
      <c r="AH425" s="173" t="e">
        <f t="shared" si="56"/>
        <v>#N/A</v>
      </c>
      <c r="AS425" s="173" t="e">
        <f t="shared" si="57"/>
        <v>#N/A</v>
      </c>
    </row>
    <row r="426" spans="1:45" s="173" customFormat="1" ht="36" customHeight="1" x14ac:dyDescent="0.9">
      <c r="A426" s="173">
        <v>1</v>
      </c>
      <c r="B426" s="91">
        <f>SUBTOTAL(103,$A$16:A426)</f>
        <v>374</v>
      </c>
      <c r="C426" s="90" t="s">
        <v>1270</v>
      </c>
      <c r="D426" s="185">
        <v>1982</v>
      </c>
      <c r="E426" s="185"/>
      <c r="F426" s="191" t="s">
        <v>273</v>
      </c>
      <c r="G426" s="185">
        <v>5</v>
      </c>
      <c r="H426" s="185">
        <v>7</v>
      </c>
      <c r="I426" s="189">
        <v>6331.45</v>
      </c>
      <c r="J426" s="189">
        <v>5066.51</v>
      </c>
      <c r="K426" s="189">
        <v>5066.51</v>
      </c>
      <c r="L426" s="187">
        <v>218</v>
      </c>
      <c r="M426" s="185" t="s">
        <v>271</v>
      </c>
      <c r="N426" s="185" t="s">
        <v>275</v>
      </c>
      <c r="O426" s="188" t="s">
        <v>277</v>
      </c>
      <c r="P426" s="189">
        <v>9394873.7499999981</v>
      </c>
      <c r="Q426" s="189">
        <v>0</v>
      </c>
      <c r="R426" s="189">
        <v>0</v>
      </c>
      <c r="S426" s="189">
        <f t="shared" si="60"/>
        <v>9394873.7499999981</v>
      </c>
      <c r="T426" s="189">
        <f t="shared" si="54"/>
        <v>1483.8423662826049</v>
      </c>
      <c r="U426" s="189">
        <v>3929.63</v>
      </c>
      <c r="V426" s="170">
        <f t="shared" si="58"/>
        <v>2445.7876337173952</v>
      </c>
      <c r="W426" s="170"/>
      <c r="X426" s="170"/>
      <c r="Y426" s="173" t="e">
        <f t="shared" si="59"/>
        <v>#N/A</v>
      </c>
      <c r="AA426" s="173" t="e">
        <f t="shared" si="55"/>
        <v>#N/A</v>
      </c>
      <c r="AC426" s="173" t="s">
        <v>129</v>
      </c>
      <c r="AD426" s="173">
        <v>754.2</v>
      </c>
      <c r="AH426" s="173" t="e">
        <f t="shared" si="56"/>
        <v>#N/A</v>
      </c>
      <c r="AS426" s="173" t="e">
        <f t="shared" si="57"/>
        <v>#N/A</v>
      </c>
    </row>
    <row r="427" spans="1:45" s="173" customFormat="1" ht="36" customHeight="1" x14ac:dyDescent="0.9">
      <c r="A427" s="173">
        <v>1</v>
      </c>
      <c r="B427" s="91">
        <f>SUBTOTAL(103,$A$16:A427)</f>
        <v>375</v>
      </c>
      <c r="C427" s="90" t="s">
        <v>1271</v>
      </c>
      <c r="D427" s="185">
        <v>1964</v>
      </c>
      <c r="E427" s="185"/>
      <c r="F427" s="191" t="s">
        <v>273</v>
      </c>
      <c r="G427" s="185">
        <v>3</v>
      </c>
      <c r="H427" s="185">
        <v>2</v>
      </c>
      <c r="I427" s="189">
        <v>1043.5999999999999</v>
      </c>
      <c r="J427" s="189">
        <v>970.7</v>
      </c>
      <c r="K427" s="189">
        <v>970.7</v>
      </c>
      <c r="L427" s="187">
        <v>62</v>
      </c>
      <c r="M427" s="185" t="s">
        <v>271</v>
      </c>
      <c r="N427" s="185" t="s">
        <v>275</v>
      </c>
      <c r="O427" s="188" t="s">
        <v>277</v>
      </c>
      <c r="P427" s="189">
        <v>3633885.25</v>
      </c>
      <c r="Q427" s="189">
        <v>0</v>
      </c>
      <c r="R427" s="189">
        <v>0</v>
      </c>
      <c r="S427" s="189">
        <f t="shared" si="60"/>
        <v>3633885.25</v>
      </c>
      <c r="T427" s="189">
        <f t="shared" si="54"/>
        <v>3482.0671234189349</v>
      </c>
      <c r="U427" s="189">
        <f>AG427</f>
        <v>5478.6765583599454</v>
      </c>
      <c r="V427" s="170">
        <f t="shared" si="58"/>
        <v>1996.6094349410105</v>
      </c>
      <c r="W427" s="170"/>
      <c r="X427" s="170"/>
      <c r="Y427" s="173" t="e">
        <f t="shared" si="59"/>
        <v>#N/A</v>
      </c>
      <c r="AA427" s="173" t="e">
        <f t="shared" si="55"/>
        <v>#N/A</v>
      </c>
      <c r="AC427" s="173" t="s">
        <v>127</v>
      </c>
      <c r="AD427" s="173">
        <v>886</v>
      </c>
      <c r="AG427" s="173">
        <f>AH427*6191.24/J427</f>
        <v>5478.6765583599454</v>
      </c>
      <c r="AH427" s="173">
        <f t="shared" si="56"/>
        <v>858.98</v>
      </c>
      <c r="AS427" s="173" t="e">
        <f t="shared" si="57"/>
        <v>#N/A</v>
      </c>
    </row>
    <row r="428" spans="1:45" s="173" customFormat="1" ht="36" customHeight="1" x14ac:dyDescent="0.9">
      <c r="B428" s="90" t="s">
        <v>869</v>
      </c>
      <c r="C428" s="90"/>
      <c r="D428" s="185" t="s">
        <v>915</v>
      </c>
      <c r="E428" s="185" t="s">
        <v>915</v>
      </c>
      <c r="F428" s="185" t="s">
        <v>915</v>
      </c>
      <c r="G428" s="185" t="s">
        <v>915</v>
      </c>
      <c r="H428" s="185" t="s">
        <v>915</v>
      </c>
      <c r="I428" s="186">
        <f>SUM(I429:I433)</f>
        <v>5121.21</v>
      </c>
      <c r="J428" s="186">
        <f>SUM(J429:J433)</f>
        <v>4137.74</v>
      </c>
      <c r="K428" s="186">
        <f>SUM(K429:K433)</f>
        <v>4095.04</v>
      </c>
      <c r="L428" s="187">
        <f>SUM(L429:L433)</f>
        <v>162</v>
      </c>
      <c r="M428" s="185" t="s">
        <v>915</v>
      </c>
      <c r="N428" s="185" t="s">
        <v>915</v>
      </c>
      <c r="O428" s="188" t="s">
        <v>915</v>
      </c>
      <c r="P428" s="189">
        <v>10749617.66</v>
      </c>
      <c r="Q428" s="189">
        <f>SUM(Q429:Q433)</f>
        <v>0</v>
      </c>
      <c r="R428" s="189">
        <f>SUM(R429:R433)</f>
        <v>0</v>
      </c>
      <c r="S428" s="189">
        <f>SUM(S429:S433)</f>
        <v>10749617.66</v>
      </c>
      <c r="T428" s="189">
        <f t="shared" si="54"/>
        <v>2099.038637353282</v>
      </c>
      <c r="U428" s="189">
        <f>MAX(U429:U433)</f>
        <v>4477.207109275213</v>
      </c>
      <c r="V428" s="170">
        <f t="shared" si="58"/>
        <v>2378.1684719219311</v>
      </c>
      <c r="W428" s="170"/>
      <c r="X428" s="170"/>
      <c r="Y428" s="173" t="e">
        <f t="shared" si="59"/>
        <v>#N/A</v>
      </c>
      <c r="AA428" s="173" t="e">
        <f t="shared" si="55"/>
        <v>#N/A</v>
      </c>
      <c r="AC428" s="173" t="s">
        <v>130</v>
      </c>
      <c r="AD428" s="173">
        <v>670</v>
      </c>
      <c r="AH428" s="173" t="e">
        <f t="shared" si="56"/>
        <v>#N/A</v>
      </c>
      <c r="AS428" s="173" t="e">
        <f t="shared" si="57"/>
        <v>#N/A</v>
      </c>
    </row>
    <row r="429" spans="1:45" s="173" customFormat="1" ht="36" customHeight="1" x14ac:dyDescent="0.9">
      <c r="A429" s="173">
        <v>1</v>
      </c>
      <c r="B429" s="91">
        <f>SUBTOTAL(103,$A$16:A429)</f>
        <v>376</v>
      </c>
      <c r="C429" s="90" t="s">
        <v>44</v>
      </c>
      <c r="D429" s="185">
        <v>1956</v>
      </c>
      <c r="E429" s="185"/>
      <c r="F429" s="191" t="s">
        <v>273</v>
      </c>
      <c r="G429" s="185">
        <v>2</v>
      </c>
      <c r="H429" s="185">
        <v>2</v>
      </c>
      <c r="I429" s="189">
        <v>735.94</v>
      </c>
      <c r="J429" s="189">
        <v>672.45</v>
      </c>
      <c r="K429" s="189">
        <v>672.45</v>
      </c>
      <c r="L429" s="187">
        <v>31</v>
      </c>
      <c r="M429" s="185" t="s">
        <v>271</v>
      </c>
      <c r="N429" s="185" t="s">
        <v>275</v>
      </c>
      <c r="O429" s="188" t="s">
        <v>278</v>
      </c>
      <c r="P429" s="189">
        <v>2250143.48</v>
      </c>
      <c r="Q429" s="189">
        <v>0</v>
      </c>
      <c r="R429" s="189">
        <v>0</v>
      </c>
      <c r="S429" s="189">
        <f>P429-Q429-R429</f>
        <v>2250143.48</v>
      </c>
      <c r="T429" s="189">
        <f t="shared" si="54"/>
        <v>3057.5094165285209</v>
      </c>
      <c r="U429" s="189">
        <f>Y429</f>
        <v>4477.207109275213</v>
      </c>
      <c r="V429" s="170">
        <f t="shared" si="58"/>
        <v>1419.6976927466922</v>
      </c>
      <c r="W429" s="170"/>
      <c r="X429" s="170"/>
      <c r="Y429" s="173">
        <f t="shared" si="59"/>
        <v>4477.207109275213</v>
      </c>
      <c r="AA429" s="173">
        <f t="shared" si="55"/>
        <v>631</v>
      </c>
      <c r="AC429" s="173" t="s">
        <v>128</v>
      </c>
      <c r="AD429" s="173">
        <v>616.12</v>
      </c>
      <c r="AH429" s="173" t="e">
        <f t="shared" si="56"/>
        <v>#N/A</v>
      </c>
      <c r="AS429" s="173" t="e">
        <f t="shared" si="57"/>
        <v>#N/A</v>
      </c>
    </row>
    <row r="430" spans="1:45" s="173" customFormat="1" ht="36" customHeight="1" x14ac:dyDescent="0.9">
      <c r="A430" s="173">
        <v>1</v>
      </c>
      <c r="B430" s="91">
        <f>SUBTOTAL(103,$A$16:A430)</f>
        <v>377</v>
      </c>
      <c r="C430" s="90" t="s">
        <v>43</v>
      </c>
      <c r="D430" s="185">
        <v>1963</v>
      </c>
      <c r="E430" s="185"/>
      <c r="F430" s="191" t="s">
        <v>273</v>
      </c>
      <c r="G430" s="185">
        <v>2</v>
      </c>
      <c r="H430" s="185">
        <v>2</v>
      </c>
      <c r="I430" s="189">
        <v>687.5</v>
      </c>
      <c r="J430" s="189">
        <v>521.5</v>
      </c>
      <c r="K430" s="189">
        <v>478.8</v>
      </c>
      <c r="L430" s="187">
        <v>14</v>
      </c>
      <c r="M430" s="185" t="s">
        <v>271</v>
      </c>
      <c r="N430" s="185" t="s">
        <v>275</v>
      </c>
      <c r="O430" s="188" t="s">
        <v>278</v>
      </c>
      <c r="P430" s="189">
        <v>2167263.7000000002</v>
      </c>
      <c r="Q430" s="189">
        <v>0</v>
      </c>
      <c r="R430" s="189">
        <v>0</v>
      </c>
      <c r="S430" s="189">
        <f>P430-Q430-R430</f>
        <v>2167263.7000000002</v>
      </c>
      <c r="T430" s="189">
        <f t="shared" si="54"/>
        <v>3152.3835636363638</v>
      </c>
      <c r="U430" s="189">
        <f>Y430</f>
        <v>4298.9655272727277</v>
      </c>
      <c r="V430" s="170">
        <f t="shared" si="58"/>
        <v>1146.581963636364</v>
      </c>
      <c r="W430" s="170"/>
      <c r="X430" s="170"/>
      <c r="Y430" s="173">
        <f t="shared" si="59"/>
        <v>4298.9655272727277</v>
      </c>
      <c r="AA430" s="173">
        <f t="shared" si="55"/>
        <v>566</v>
      </c>
      <c r="AC430" s="173" t="s">
        <v>125</v>
      </c>
      <c r="AD430" s="173">
        <v>773.7</v>
      </c>
      <c r="AH430" s="173" t="e">
        <f t="shared" si="56"/>
        <v>#N/A</v>
      </c>
      <c r="AS430" s="173" t="e">
        <f t="shared" si="57"/>
        <v>#N/A</v>
      </c>
    </row>
    <row r="431" spans="1:45" s="173" customFormat="1" ht="36" customHeight="1" x14ac:dyDescent="0.9">
      <c r="A431" s="173">
        <v>1</v>
      </c>
      <c r="B431" s="91">
        <f>SUBTOTAL(103,$A$16:A431)</f>
        <v>378</v>
      </c>
      <c r="C431" s="90" t="s">
        <v>45</v>
      </c>
      <c r="D431" s="185">
        <v>1964</v>
      </c>
      <c r="E431" s="185"/>
      <c r="F431" s="191" t="s">
        <v>273</v>
      </c>
      <c r="G431" s="185">
        <v>2</v>
      </c>
      <c r="H431" s="185">
        <v>2</v>
      </c>
      <c r="I431" s="189">
        <v>691.68</v>
      </c>
      <c r="J431" s="189">
        <v>643.4</v>
      </c>
      <c r="K431" s="189">
        <v>643.4</v>
      </c>
      <c r="L431" s="187">
        <v>15</v>
      </c>
      <c r="M431" s="185" t="s">
        <v>271</v>
      </c>
      <c r="N431" s="185" t="s">
        <v>275</v>
      </c>
      <c r="O431" s="188" t="s">
        <v>278</v>
      </c>
      <c r="P431" s="189">
        <v>2202329.54</v>
      </c>
      <c r="Q431" s="189">
        <v>0</v>
      </c>
      <c r="R431" s="189">
        <v>0</v>
      </c>
      <c r="S431" s="189">
        <f>P431-Q431-R431</f>
        <v>2202329.54</v>
      </c>
      <c r="T431" s="189">
        <f t="shared" si="54"/>
        <v>3184.0295223224616</v>
      </c>
      <c r="U431" s="189">
        <f>Y431</f>
        <v>4242.7879944483002</v>
      </c>
      <c r="V431" s="170">
        <f t="shared" si="58"/>
        <v>1058.7584721258386</v>
      </c>
      <c r="W431" s="170"/>
      <c r="X431" s="170"/>
      <c r="Y431" s="173">
        <f t="shared" si="59"/>
        <v>4242.7879944483002</v>
      </c>
      <c r="AA431" s="173">
        <f t="shared" si="55"/>
        <v>562</v>
      </c>
      <c r="AC431" s="173" t="s">
        <v>126</v>
      </c>
      <c r="AD431" s="173">
        <v>935</v>
      </c>
      <c r="AH431" s="173" t="e">
        <f t="shared" si="56"/>
        <v>#N/A</v>
      </c>
      <c r="AS431" s="173" t="e">
        <f t="shared" si="57"/>
        <v>#N/A</v>
      </c>
    </row>
    <row r="432" spans="1:45" s="173" customFormat="1" ht="36" customHeight="1" x14ac:dyDescent="0.9">
      <c r="A432" s="173">
        <v>1</v>
      </c>
      <c r="B432" s="91">
        <f>SUBTOTAL(103,$A$16:A432)</f>
        <v>379</v>
      </c>
      <c r="C432" s="90" t="s">
        <v>1277</v>
      </c>
      <c r="D432" s="185">
        <v>1974</v>
      </c>
      <c r="E432" s="185"/>
      <c r="F432" s="191" t="s">
        <v>273</v>
      </c>
      <c r="G432" s="185">
        <v>5</v>
      </c>
      <c r="H432" s="185">
        <v>2</v>
      </c>
      <c r="I432" s="189">
        <v>2403.29</v>
      </c>
      <c r="J432" s="189">
        <v>1756.39</v>
      </c>
      <c r="K432" s="189">
        <v>1756.39</v>
      </c>
      <c r="L432" s="187">
        <v>78</v>
      </c>
      <c r="M432" s="185" t="s">
        <v>271</v>
      </c>
      <c r="N432" s="185" t="s">
        <v>275</v>
      </c>
      <c r="O432" s="188" t="s">
        <v>278</v>
      </c>
      <c r="P432" s="189">
        <v>2813595.52</v>
      </c>
      <c r="Q432" s="189">
        <v>0</v>
      </c>
      <c r="R432" s="189">
        <v>0</v>
      </c>
      <c r="S432" s="189">
        <f>P432-Q432-R432</f>
        <v>2813595.52</v>
      </c>
      <c r="T432" s="189">
        <f t="shared" si="54"/>
        <v>1170.7265956251638</v>
      </c>
      <c r="U432" s="189">
        <v>3521.88</v>
      </c>
      <c r="V432" s="170">
        <f t="shared" si="58"/>
        <v>2351.1534043748361</v>
      </c>
      <c r="W432" s="170"/>
      <c r="X432" s="170"/>
      <c r="Y432" s="173" t="e">
        <f t="shared" si="59"/>
        <v>#N/A</v>
      </c>
      <c r="AA432" s="173" t="e">
        <f t="shared" si="55"/>
        <v>#N/A</v>
      </c>
      <c r="AC432" s="173" t="s">
        <v>131</v>
      </c>
      <c r="AD432" s="173">
        <v>740.9</v>
      </c>
      <c r="AH432" s="173" t="e">
        <f t="shared" si="56"/>
        <v>#N/A</v>
      </c>
      <c r="AS432" s="173" t="e">
        <f t="shared" si="57"/>
        <v>#N/A</v>
      </c>
    </row>
    <row r="433" spans="1:45" s="173" customFormat="1" ht="36" customHeight="1" x14ac:dyDescent="0.9">
      <c r="A433" s="173">
        <v>1</v>
      </c>
      <c r="B433" s="91">
        <f>SUBTOTAL(103,$A$16:A433)</f>
        <v>380</v>
      </c>
      <c r="C433" s="90" t="s">
        <v>1278</v>
      </c>
      <c r="D433" s="185">
        <v>1936</v>
      </c>
      <c r="E433" s="185"/>
      <c r="F433" s="191" t="s">
        <v>338</v>
      </c>
      <c r="G433" s="185">
        <v>2</v>
      </c>
      <c r="H433" s="185">
        <v>2</v>
      </c>
      <c r="I433" s="189">
        <v>602.79999999999995</v>
      </c>
      <c r="J433" s="189">
        <v>544</v>
      </c>
      <c r="K433" s="189">
        <v>544</v>
      </c>
      <c r="L433" s="187">
        <v>24</v>
      </c>
      <c r="M433" s="185" t="s">
        <v>271</v>
      </c>
      <c r="N433" s="185" t="s">
        <v>275</v>
      </c>
      <c r="O433" s="188" t="s">
        <v>278</v>
      </c>
      <c r="P433" s="189">
        <v>1316285.42</v>
      </c>
      <c r="Q433" s="189">
        <v>0</v>
      </c>
      <c r="R433" s="189">
        <v>0</v>
      </c>
      <c r="S433" s="189">
        <f>P433-Q433-R433</f>
        <v>1316285.42</v>
      </c>
      <c r="T433" s="189">
        <f t="shared" si="54"/>
        <v>2183.6188122096883</v>
      </c>
      <c r="U433" s="189">
        <f>Y433</f>
        <v>3932.8088918380895</v>
      </c>
      <c r="V433" s="170">
        <f t="shared" si="58"/>
        <v>1749.1900796284012</v>
      </c>
      <c r="W433" s="170"/>
      <c r="X433" s="170"/>
      <c r="Y433" s="173">
        <f t="shared" si="59"/>
        <v>3932.8088918380895</v>
      </c>
      <c r="AA433" s="173">
        <f t="shared" si="55"/>
        <v>454</v>
      </c>
      <c r="AC433" s="173" t="s">
        <v>180</v>
      </c>
      <c r="AD433" s="173">
        <v>650</v>
      </c>
      <c r="AH433" s="173" t="e">
        <f t="shared" si="56"/>
        <v>#N/A</v>
      </c>
      <c r="AS433" s="173" t="e">
        <f t="shared" si="57"/>
        <v>#N/A</v>
      </c>
    </row>
    <row r="434" spans="1:45" s="173" customFormat="1" ht="36" customHeight="1" x14ac:dyDescent="0.9">
      <c r="B434" s="90" t="s">
        <v>870</v>
      </c>
      <c r="C434" s="90"/>
      <c r="D434" s="185" t="s">
        <v>915</v>
      </c>
      <c r="E434" s="185" t="s">
        <v>915</v>
      </c>
      <c r="F434" s="185" t="s">
        <v>915</v>
      </c>
      <c r="G434" s="185" t="s">
        <v>915</v>
      </c>
      <c r="H434" s="185" t="s">
        <v>915</v>
      </c>
      <c r="I434" s="186">
        <f>I435+I436</f>
        <v>1488.6</v>
      </c>
      <c r="J434" s="186">
        <f>J435+J436</f>
        <v>1410.2</v>
      </c>
      <c r="K434" s="186">
        <f>K435+K436</f>
        <v>987.3</v>
      </c>
      <c r="L434" s="187">
        <f>L435+L436</f>
        <v>67</v>
      </c>
      <c r="M434" s="185" t="s">
        <v>915</v>
      </c>
      <c r="N434" s="185" t="s">
        <v>915</v>
      </c>
      <c r="O434" s="188" t="s">
        <v>915</v>
      </c>
      <c r="P434" s="186">
        <v>5174634.9800000004</v>
      </c>
      <c r="Q434" s="186">
        <f>Q435+Q436</f>
        <v>0</v>
      </c>
      <c r="R434" s="186">
        <f>R435+R436</f>
        <v>0</v>
      </c>
      <c r="S434" s="186">
        <f>S435+S436</f>
        <v>5174634.9800000004</v>
      </c>
      <c r="T434" s="189">
        <f t="shared" si="54"/>
        <v>3476.1755878006184</v>
      </c>
      <c r="U434" s="189">
        <f>MAX(U435:U436)</f>
        <v>4805.136239379387</v>
      </c>
      <c r="V434" s="170">
        <f t="shared" si="58"/>
        <v>1328.9606515787686</v>
      </c>
      <c r="W434" s="170"/>
      <c r="X434" s="170"/>
      <c r="Y434" s="173" t="e">
        <f t="shared" si="59"/>
        <v>#N/A</v>
      </c>
      <c r="AA434" s="173" t="e">
        <f t="shared" si="55"/>
        <v>#N/A</v>
      </c>
      <c r="AC434" s="173" t="s">
        <v>177</v>
      </c>
      <c r="AD434" s="173">
        <v>816</v>
      </c>
      <c r="AH434" s="173" t="e">
        <f t="shared" si="56"/>
        <v>#N/A</v>
      </c>
      <c r="AS434" s="173" t="e">
        <f t="shared" si="57"/>
        <v>#N/A</v>
      </c>
    </row>
    <row r="435" spans="1:45" s="173" customFormat="1" ht="36" customHeight="1" x14ac:dyDescent="0.9">
      <c r="A435" s="173">
        <v>1</v>
      </c>
      <c r="B435" s="91">
        <f>SUBTOTAL(103,$A$16:A435)</f>
        <v>381</v>
      </c>
      <c r="C435" s="90" t="s">
        <v>42</v>
      </c>
      <c r="D435" s="185">
        <v>1960</v>
      </c>
      <c r="E435" s="185"/>
      <c r="F435" s="191" t="s">
        <v>273</v>
      </c>
      <c r="G435" s="185">
        <v>2</v>
      </c>
      <c r="H435" s="185">
        <v>2</v>
      </c>
      <c r="I435" s="189">
        <v>676.5</v>
      </c>
      <c r="J435" s="189">
        <v>628.1</v>
      </c>
      <c r="K435" s="189">
        <v>542.1</v>
      </c>
      <c r="L435" s="187">
        <v>32</v>
      </c>
      <c r="M435" s="185" t="s">
        <v>271</v>
      </c>
      <c r="N435" s="185" t="s">
        <v>275</v>
      </c>
      <c r="O435" s="188" t="s">
        <v>279</v>
      </c>
      <c r="P435" s="189">
        <v>2212562.2000000002</v>
      </c>
      <c r="Q435" s="189">
        <v>0</v>
      </c>
      <c r="R435" s="189">
        <v>0</v>
      </c>
      <c r="S435" s="189">
        <f>P435-Q435-R435</f>
        <v>2212562.2000000002</v>
      </c>
      <c r="T435" s="189">
        <f t="shared" si="54"/>
        <v>3270.6019216555806</v>
      </c>
      <c r="U435" s="189">
        <f>Y435</f>
        <v>4592.7139689578717</v>
      </c>
      <c r="V435" s="170">
        <f t="shared" si="58"/>
        <v>1322.1120473022911</v>
      </c>
      <c r="W435" s="170"/>
      <c r="X435" s="170"/>
      <c r="Y435" s="173">
        <f t="shared" si="59"/>
        <v>4592.7139689578717</v>
      </c>
      <c r="AA435" s="173">
        <f t="shared" si="55"/>
        <v>595</v>
      </c>
      <c r="AC435" s="173" t="s">
        <v>176</v>
      </c>
      <c r="AD435" s="173">
        <v>368.9</v>
      </c>
      <c r="AH435" s="173" t="e">
        <f t="shared" si="56"/>
        <v>#N/A</v>
      </c>
      <c r="AS435" s="173" t="e">
        <f t="shared" si="57"/>
        <v>#N/A</v>
      </c>
    </row>
    <row r="436" spans="1:45" s="173" customFormat="1" ht="36" customHeight="1" x14ac:dyDescent="0.9">
      <c r="A436" s="173">
        <v>1</v>
      </c>
      <c r="B436" s="91">
        <f>SUBTOTAL(103,$A$16:A436)</f>
        <v>382</v>
      </c>
      <c r="C436" s="90" t="s">
        <v>1598</v>
      </c>
      <c r="D436" s="185">
        <v>1957</v>
      </c>
      <c r="E436" s="185"/>
      <c r="F436" s="191" t="s">
        <v>273</v>
      </c>
      <c r="G436" s="185">
        <v>2</v>
      </c>
      <c r="H436" s="185">
        <v>2</v>
      </c>
      <c r="I436" s="189">
        <v>812.1</v>
      </c>
      <c r="J436" s="189">
        <v>782.1</v>
      </c>
      <c r="K436" s="189">
        <v>445.2</v>
      </c>
      <c r="L436" s="187">
        <v>35</v>
      </c>
      <c r="M436" s="185" t="s">
        <v>271</v>
      </c>
      <c r="N436" s="185" t="s">
        <v>275</v>
      </c>
      <c r="O436" s="188" t="s">
        <v>279</v>
      </c>
      <c r="P436" s="189">
        <v>2962072.7800000003</v>
      </c>
      <c r="Q436" s="189">
        <v>0</v>
      </c>
      <c r="R436" s="189">
        <v>0</v>
      </c>
      <c r="S436" s="189">
        <f>P436-R436-Q436</f>
        <v>2962072.7800000003</v>
      </c>
      <c r="T436" s="189">
        <f t="shared" si="54"/>
        <v>3647.4236916635887</v>
      </c>
      <c r="U436" s="189">
        <f>Y436</f>
        <v>4805.136239379387</v>
      </c>
      <c r="V436" s="170">
        <f t="shared" si="58"/>
        <v>1157.7125477157983</v>
      </c>
      <c r="W436" s="170"/>
      <c r="X436" s="170"/>
      <c r="Y436" s="173">
        <f t="shared" si="59"/>
        <v>4805.136239379387</v>
      </c>
      <c r="AA436" s="173">
        <f t="shared" si="55"/>
        <v>747.3</v>
      </c>
      <c r="AC436" s="173" t="s">
        <v>79</v>
      </c>
      <c r="AD436" s="173">
        <v>510</v>
      </c>
      <c r="AH436" s="173" t="e">
        <f t="shared" si="56"/>
        <v>#N/A</v>
      </c>
      <c r="AS436" s="173" t="e">
        <f t="shared" si="57"/>
        <v>#N/A</v>
      </c>
    </row>
    <row r="437" spans="1:45" s="173" customFormat="1" ht="36" customHeight="1" x14ac:dyDescent="0.9">
      <c r="B437" s="90" t="s">
        <v>871</v>
      </c>
      <c r="C437" s="90"/>
      <c r="D437" s="185" t="s">
        <v>915</v>
      </c>
      <c r="E437" s="185" t="s">
        <v>915</v>
      </c>
      <c r="F437" s="185" t="s">
        <v>915</v>
      </c>
      <c r="G437" s="185" t="s">
        <v>915</v>
      </c>
      <c r="H437" s="185" t="s">
        <v>915</v>
      </c>
      <c r="I437" s="186">
        <f>SUM(I438:I446)</f>
        <v>14074.8</v>
      </c>
      <c r="J437" s="186">
        <f>SUM(J438:J446)</f>
        <v>12404.339999999998</v>
      </c>
      <c r="K437" s="186">
        <f>SUM(K438:K446)</f>
        <v>11986.91</v>
      </c>
      <c r="L437" s="187">
        <f>SUM(L438:L446)</f>
        <v>602</v>
      </c>
      <c r="M437" s="185" t="s">
        <v>915</v>
      </c>
      <c r="N437" s="185" t="s">
        <v>915</v>
      </c>
      <c r="O437" s="188" t="s">
        <v>915</v>
      </c>
      <c r="P437" s="189">
        <v>28248063.09</v>
      </c>
      <c r="Q437" s="189">
        <f>SUM(Q438:Q446)</f>
        <v>0</v>
      </c>
      <c r="R437" s="189">
        <f>SUM(R438:R446)</f>
        <v>0</v>
      </c>
      <c r="S437" s="189">
        <f>SUM(S438:S446)</f>
        <v>28248063.09</v>
      </c>
      <c r="T437" s="189">
        <f t="shared" si="54"/>
        <v>2006.9957008270101</v>
      </c>
      <c r="U437" s="189">
        <f>MAX(U438:U446)</f>
        <v>6260.2086763701336</v>
      </c>
      <c r="V437" s="170">
        <f t="shared" si="58"/>
        <v>4253.2129755431233</v>
      </c>
      <c r="W437" s="170"/>
      <c r="X437" s="170"/>
      <c r="Y437" s="173" t="e">
        <f t="shared" si="59"/>
        <v>#N/A</v>
      </c>
      <c r="AA437" s="173" t="e">
        <f t="shared" si="55"/>
        <v>#N/A</v>
      </c>
      <c r="AC437" s="173" t="s">
        <v>80</v>
      </c>
      <c r="AD437" s="173">
        <v>430</v>
      </c>
      <c r="AH437" s="173" t="e">
        <f t="shared" si="56"/>
        <v>#N/A</v>
      </c>
      <c r="AS437" s="173" t="e">
        <f t="shared" si="57"/>
        <v>#N/A</v>
      </c>
    </row>
    <row r="438" spans="1:45" s="173" customFormat="1" ht="36" customHeight="1" x14ac:dyDescent="0.9">
      <c r="A438" s="173">
        <v>1</v>
      </c>
      <c r="B438" s="91">
        <f>SUBTOTAL(103,$A$16:A438)</f>
        <v>383</v>
      </c>
      <c r="C438" s="90" t="s">
        <v>50</v>
      </c>
      <c r="D438" s="185">
        <v>1941</v>
      </c>
      <c r="E438" s="185"/>
      <c r="F438" s="191" t="s">
        <v>273</v>
      </c>
      <c r="G438" s="185">
        <v>3</v>
      </c>
      <c r="H438" s="185">
        <v>3</v>
      </c>
      <c r="I438" s="189">
        <v>1207.5</v>
      </c>
      <c r="J438" s="189">
        <v>1028.42</v>
      </c>
      <c r="K438" s="189">
        <v>1028.42</v>
      </c>
      <c r="L438" s="187">
        <v>51</v>
      </c>
      <c r="M438" s="185" t="s">
        <v>271</v>
      </c>
      <c r="N438" s="185" t="s">
        <v>272</v>
      </c>
      <c r="O438" s="188" t="s">
        <v>274</v>
      </c>
      <c r="P438" s="189">
        <v>5017460.6800000006</v>
      </c>
      <c r="Q438" s="189">
        <v>0</v>
      </c>
      <c r="R438" s="189">
        <v>0</v>
      </c>
      <c r="S438" s="189">
        <f t="shared" ref="S438:S446" si="61">P438-Q438-R438</f>
        <v>5017460.6800000006</v>
      </c>
      <c r="T438" s="189">
        <f t="shared" si="54"/>
        <v>4155.2469399585925</v>
      </c>
      <c r="U438" s="189">
        <v>4155.2469399585925</v>
      </c>
      <c r="V438" s="170">
        <f t="shared" si="58"/>
        <v>0</v>
      </c>
      <c r="W438" s="170"/>
      <c r="X438" s="170"/>
      <c r="Y438" s="173">
        <f t="shared" si="59"/>
        <v>3750.6146086956519</v>
      </c>
      <c r="AA438" s="173">
        <f t="shared" si="55"/>
        <v>867.3</v>
      </c>
      <c r="AC438" s="173" t="s">
        <v>81</v>
      </c>
      <c r="AD438" s="173">
        <v>430</v>
      </c>
      <c r="AH438" s="173" t="e">
        <f t="shared" si="56"/>
        <v>#N/A</v>
      </c>
      <c r="AS438" s="173" t="e">
        <f t="shared" si="57"/>
        <v>#N/A</v>
      </c>
    </row>
    <row r="439" spans="1:45" s="173" customFormat="1" ht="36" customHeight="1" x14ac:dyDescent="0.9">
      <c r="A439" s="173">
        <v>1</v>
      </c>
      <c r="B439" s="91">
        <f>SUBTOTAL(103,$A$16:A439)</f>
        <v>384</v>
      </c>
      <c r="C439" s="90" t="s">
        <v>48</v>
      </c>
      <c r="D439" s="185">
        <v>1972</v>
      </c>
      <c r="E439" s="185"/>
      <c r="F439" s="191" t="s">
        <v>273</v>
      </c>
      <c r="G439" s="185">
        <v>2</v>
      </c>
      <c r="H439" s="185">
        <v>2</v>
      </c>
      <c r="I439" s="189">
        <v>729.8</v>
      </c>
      <c r="J439" s="189">
        <v>670.43999999999994</v>
      </c>
      <c r="K439" s="189">
        <v>670.44</v>
      </c>
      <c r="L439" s="187">
        <v>29</v>
      </c>
      <c r="M439" s="185" t="s">
        <v>271</v>
      </c>
      <c r="N439" s="185" t="s">
        <v>272</v>
      </c>
      <c r="O439" s="188" t="s">
        <v>274</v>
      </c>
      <c r="P439" s="189">
        <v>2810575.6300000004</v>
      </c>
      <c r="Q439" s="189">
        <v>0</v>
      </c>
      <c r="R439" s="189">
        <v>0</v>
      </c>
      <c r="S439" s="189">
        <f t="shared" si="61"/>
        <v>2810575.6300000004</v>
      </c>
      <c r="T439" s="189">
        <f t="shared" si="54"/>
        <v>3851.1587147163614</v>
      </c>
      <c r="U439" s="189">
        <f t="shared" ref="U439:U443" si="62">Y439</f>
        <v>4670.1409427240351</v>
      </c>
      <c r="V439" s="170">
        <f t="shared" si="58"/>
        <v>818.98222800767371</v>
      </c>
      <c r="W439" s="170"/>
      <c r="X439" s="170"/>
      <c r="Y439" s="173">
        <f t="shared" si="59"/>
        <v>4670.1409427240351</v>
      </c>
      <c r="AA439" s="173">
        <f t="shared" si="55"/>
        <v>652.70000000000005</v>
      </c>
      <c r="AC439" s="173" t="s">
        <v>78</v>
      </c>
      <c r="AD439" s="173">
        <v>385</v>
      </c>
      <c r="AH439" s="173" t="e">
        <f t="shared" si="56"/>
        <v>#N/A</v>
      </c>
      <c r="AS439" s="173" t="e">
        <f t="shared" si="57"/>
        <v>#N/A</v>
      </c>
    </row>
    <row r="440" spans="1:45" s="173" customFormat="1" ht="36" customHeight="1" x14ac:dyDescent="0.9">
      <c r="A440" s="173">
        <v>1</v>
      </c>
      <c r="B440" s="91">
        <f>SUBTOTAL(103,$A$16:A440)</f>
        <v>385</v>
      </c>
      <c r="C440" s="90" t="s">
        <v>49</v>
      </c>
      <c r="D440" s="185">
        <v>1962</v>
      </c>
      <c r="E440" s="185"/>
      <c r="F440" s="191" t="s">
        <v>273</v>
      </c>
      <c r="G440" s="185">
        <v>4</v>
      </c>
      <c r="H440" s="185">
        <v>3</v>
      </c>
      <c r="I440" s="189">
        <v>1905.34</v>
      </c>
      <c r="J440" s="189">
        <v>1830.34</v>
      </c>
      <c r="K440" s="189">
        <v>1708.94</v>
      </c>
      <c r="L440" s="187">
        <v>104</v>
      </c>
      <c r="M440" s="185" t="s">
        <v>271</v>
      </c>
      <c r="N440" s="185" t="s">
        <v>272</v>
      </c>
      <c r="O440" s="188" t="s">
        <v>274</v>
      </c>
      <c r="P440" s="189">
        <v>5245064.0000000009</v>
      </c>
      <c r="Q440" s="189">
        <v>0</v>
      </c>
      <c r="R440" s="189">
        <v>0</v>
      </c>
      <c r="S440" s="189">
        <f t="shared" si="61"/>
        <v>5245064.0000000009</v>
      </c>
      <c r="T440" s="189">
        <f t="shared" si="54"/>
        <v>2752.8231181836318</v>
      </c>
      <c r="U440" s="189">
        <v>2752.8231181836318</v>
      </c>
      <c r="V440" s="170">
        <f t="shared" si="58"/>
        <v>0</v>
      </c>
      <c r="W440" s="170"/>
      <c r="X440" s="170"/>
      <c r="Y440" s="173">
        <f t="shared" si="59"/>
        <v>2458.0560005038474</v>
      </c>
      <c r="AA440" s="173">
        <f t="shared" si="55"/>
        <v>896.9</v>
      </c>
      <c r="AC440" s="173" t="s">
        <v>82</v>
      </c>
      <c r="AD440" s="173">
        <v>307</v>
      </c>
      <c r="AH440" s="173" t="e">
        <f t="shared" si="56"/>
        <v>#N/A</v>
      </c>
      <c r="AS440" s="173" t="e">
        <f t="shared" si="57"/>
        <v>#N/A</v>
      </c>
    </row>
    <row r="441" spans="1:45" s="173" customFormat="1" ht="36" customHeight="1" x14ac:dyDescent="0.9">
      <c r="A441" s="173">
        <v>1</v>
      </c>
      <c r="B441" s="91">
        <f>SUBTOTAL(103,$A$16:A441)</f>
        <v>386</v>
      </c>
      <c r="C441" s="90" t="s">
        <v>51</v>
      </c>
      <c r="D441" s="185">
        <v>1971</v>
      </c>
      <c r="E441" s="185"/>
      <c r="F441" s="191" t="s">
        <v>273</v>
      </c>
      <c r="G441" s="185">
        <v>2</v>
      </c>
      <c r="H441" s="185">
        <v>2</v>
      </c>
      <c r="I441" s="189">
        <v>758.5</v>
      </c>
      <c r="J441" s="189">
        <v>696.38</v>
      </c>
      <c r="K441" s="189">
        <v>644.48</v>
      </c>
      <c r="L441" s="187">
        <v>22</v>
      </c>
      <c r="M441" s="185" t="s">
        <v>271</v>
      </c>
      <c r="N441" s="185" t="s">
        <v>272</v>
      </c>
      <c r="O441" s="188" t="s">
        <v>274</v>
      </c>
      <c r="P441" s="189">
        <v>2938871.62</v>
      </c>
      <c r="Q441" s="189">
        <v>0</v>
      </c>
      <c r="R441" s="189">
        <v>0</v>
      </c>
      <c r="S441" s="189">
        <f t="shared" si="61"/>
        <v>2938871.62</v>
      </c>
      <c r="T441" s="189">
        <f t="shared" si="54"/>
        <v>3874.5835464733027</v>
      </c>
      <c r="U441" s="189">
        <f t="shared" si="62"/>
        <v>4688.2607778510219</v>
      </c>
      <c r="V441" s="170">
        <f t="shared" si="58"/>
        <v>813.67723137771918</v>
      </c>
      <c r="W441" s="170"/>
      <c r="X441" s="170"/>
      <c r="Y441" s="173">
        <f t="shared" si="59"/>
        <v>4688.2607778510219</v>
      </c>
      <c r="AA441" s="173">
        <f t="shared" si="55"/>
        <v>681</v>
      </c>
      <c r="AC441" s="173" t="s">
        <v>83</v>
      </c>
      <c r="AD441" s="173">
        <v>160</v>
      </c>
      <c r="AH441" s="173" t="e">
        <f t="shared" si="56"/>
        <v>#N/A</v>
      </c>
      <c r="AS441" s="173" t="e">
        <f t="shared" si="57"/>
        <v>#N/A</v>
      </c>
    </row>
    <row r="442" spans="1:45" s="173" customFormat="1" ht="36" customHeight="1" x14ac:dyDescent="0.9">
      <c r="A442" s="173">
        <v>1</v>
      </c>
      <c r="B442" s="91">
        <f>SUBTOTAL(103,$A$16:A442)</f>
        <v>387</v>
      </c>
      <c r="C442" s="90" t="s">
        <v>1272</v>
      </c>
      <c r="D442" s="185">
        <v>1978</v>
      </c>
      <c r="E442" s="185"/>
      <c r="F442" s="191" t="s">
        <v>273</v>
      </c>
      <c r="G442" s="185">
        <v>3</v>
      </c>
      <c r="H442" s="185">
        <v>3</v>
      </c>
      <c r="I442" s="189">
        <v>1326.37</v>
      </c>
      <c r="J442" s="189">
        <v>1191.9699999999998</v>
      </c>
      <c r="K442" s="189">
        <v>1191.97</v>
      </c>
      <c r="L442" s="187">
        <v>55</v>
      </c>
      <c r="M442" s="185" t="s">
        <v>271</v>
      </c>
      <c r="N442" s="185" t="s">
        <v>272</v>
      </c>
      <c r="O442" s="188" t="s">
        <v>274</v>
      </c>
      <c r="P442" s="189">
        <v>3146286.42</v>
      </c>
      <c r="Q442" s="189">
        <v>0</v>
      </c>
      <c r="R442" s="189">
        <v>0</v>
      </c>
      <c r="S442" s="189">
        <f t="shared" si="61"/>
        <v>3146286.42</v>
      </c>
      <c r="T442" s="189">
        <f t="shared" si="54"/>
        <v>2372.103123562807</v>
      </c>
      <c r="U442" s="189">
        <f t="shared" si="62"/>
        <v>2671.1937845397592</v>
      </c>
      <c r="V442" s="170">
        <f t="shared" si="58"/>
        <v>299.09066097695222</v>
      </c>
      <c r="W442" s="170"/>
      <c r="X442" s="170"/>
      <c r="Y442" s="173">
        <f t="shared" si="59"/>
        <v>2671.1937845397592</v>
      </c>
      <c r="AA442" s="173">
        <f t="shared" si="55"/>
        <v>678.5</v>
      </c>
      <c r="AC442" s="173" t="s">
        <v>84</v>
      </c>
      <c r="AD442" s="173">
        <v>399.43</v>
      </c>
      <c r="AH442" s="173" t="e">
        <f t="shared" si="56"/>
        <v>#N/A</v>
      </c>
      <c r="AS442" s="173" t="e">
        <f t="shared" si="57"/>
        <v>#N/A</v>
      </c>
    </row>
    <row r="443" spans="1:45" s="173" customFormat="1" ht="36" customHeight="1" x14ac:dyDescent="0.9">
      <c r="A443" s="173">
        <v>1</v>
      </c>
      <c r="B443" s="91">
        <f>SUBTOTAL(103,$A$16:A443)</f>
        <v>388</v>
      </c>
      <c r="C443" s="90" t="s">
        <v>1273</v>
      </c>
      <c r="D443" s="185">
        <v>1983</v>
      </c>
      <c r="E443" s="185"/>
      <c r="F443" s="191" t="s">
        <v>273</v>
      </c>
      <c r="G443" s="185">
        <v>5</v>
      </c>
      <c r="H443" s="185">
        <v>6</v>
      </c>
      <c r="I443" s="189">
        <v>4088.44</v>
      </c>
      <c r="J443" s="189">
        <v>3644.94</v>
      </c>
      <c r="K443" s="189">
        <v>3612.34</v>
      </c>
      <c r="L443" s="187">
        <v>151</v>
      </c>
      <c r="M443" s="185" t="s">
        <v>271</v>
      </c>
      <c r="N443" s="185" t="s">
        <v>275</v>
      </c>
      <c r="O443" s="188" t="s">
        <v>1331</v>
      </c>
      <c r="P443" s="189">
        <v>2695968.78</v>
      </c>
      <c r="Q443" s="189">
        <v>0</v>
      </c>
      <c r="R443" s="189">
        <v>0</v>
      </c>
      <c r="S443" s="189">
        <f t="shared" si="61"/>
        <v>2695968.78</v>
      </c>
      <c r="T443" s="189">
        <f t="shared" si="54"/>
        <v>659.41258279441547</v>
      </c>
      <c r="U443" s="189">
        <f t="shared" si="62"/>
        <v>1633.2972576337183</v>
      </c>
      <c r="V443" s="170">
        <f t="shared" si="58"/>
        <v>973.88467483930287</v>
      </c>
      <c r="W443" s="170"/>
      <c r="X443" s="170"/>
      <c r="Y443" s="173">
        <f t="shared" si="59"/>
        <v>1633.2972576337183</v>
      </c>
      <c r="AA443" s="173">
        <f t="shared" si="55"/>
        <v>1278.8</v>
      </c>
      <c r="AC443" s="173" t="s">
        <v>107</v>
      </c>
      <c r="AD443" s="173">
        <v>571</v>
      </c>
      <c r="AH443" s="173" t="e">
        <f t="shared" si="56"/>
        <v>#N/A</v>
      </c>
      <c r="AS443" s="173" t="e">
        <f t="shared" si="57"/>
        <v>#N/A</v>
      </c>
    </row>
    <row r="444" spans="1:45" s="173" customFormat="1" ht="36" customHeight="1" x14ac:dyDescent="0.9">
      <c r="A444" s="173">
        <v>1</v>
      </c>
      <c r="B444" s="91">
        <f>SUBTOTAL(103,$A$16:A444)</f>
        <v>389</v>
      </c>
      <c r="C444" s="90" t="s">
        <v>1274</v>
      </c>
      <c r="D444" s="185">
        <v>1974</v>
      </c>
      <c r="E444" s="185"/>
      <c r="F444" s="191" t="s">
        <v>319</v>
      </c>
      <c r="G444" s="185">
        <v>5</v>
      </c>
      <c r="H444" s="185">
        <v>5</v>
      </c>
      <c r="I444" s="189">
        <v>3399.85</v>
      </c>
      <c r="J444" s="189">
        <v>2854.6499999999996</v>
      </c>
      <c r="K444" s="189">
        <v>2776.82</v>
      </c>
      <c r="L444" s="187">
        <v>163</v>
      </c>
      <c r="M444" s="185" t="s">
        <v>271</v>
      </c>
      <c r="N444" s="185" t="s">
        <v>275</v>
      </c>
      <c r="O444" s="188" t="s">
        <v>1331</v>
      </c>
      <c r="P444" s="189">
        <v>4373146.29</v>
      </c>
      <c r="Q444" s="189">
        <v>0</v>
      </c>
      <c r="R444" s="189">
        <v>0</v>
      </c>
      <c r="S444" s="189">
        <f t="shared" si="61"/>
        <v>4373146.29</v>
      </c>
      <c r="T444" s="189">
        <f t="shared" si="54"/>
        <v>1286.2762445402004</v>
      </c>
      <c r="U444" s="189">
        <f>AG444</f>
        <v>6260.2086763701336</v>
      </c>
      <c r="V444" s="170">
        <f t="shared" si="58"/>
        <v>4973.9324318299332</v>
      </c>
      <c r="W444" s="170"/>
      <c r="X444" s="170"/>
      <c r="Y444" s="173" t="e">
        <f t="shared" si="59"/>
        <v>#N/A</v>
      </c>
      <c r="AA444" s="173" t="e">
        <f t="shared" si="55"/>
        <v>#N/A</v>
      </c>
      <c r="AC444" s="173" t="s">
        <v>113</v>
      </c>
      <c r="AD444" s="173">
        <v>821.6</v>
      </c>
      <c r="AG444" s="173">
        <f>AH444*6191.24/J444</f>
        <v>6260.2086763701336</v>
      </c>
      <c r="AH444" s="173">
        <f t="shared" si="56"/>
        <v>2886.45</v>
      </c>
      <c r="AS444" s="173" t="e">
        <f t="shared" si="57"/>
        <v>#N/A</v>
      </c>
    </row>
    <row r="445" spans="1:45" s="173" customFormat="1" ht="36" customHeight="1" x14ac:dyDescent="0.9">
      <c r="A445" s="173">
        <v>1</v>
      </c>
      <c r="B445" s="91">
        <f>SUBTOTAL(103,$A$16:A445)</f>
        <v>390</v>
      </c>
      <c r="C445" s="90" t="s">
        <v>1275</v>
      </c>
      <c r="D445" s="185">
        <v>1959</v>
      </c>
      <c r="E445" s="185"/>
      <c r="F445" s="191" t="s">
        <v>273</v>
      </c>
      <c r="G445" s="185">
        <v>1</v>
      </c>
      <c r="H445" s="185">
        <v>1</v>
      </c>
      <c r="I445" s="189">
        <v>264.3</v>
      </c>
      <c r="J445" s="189">
        <v>252.9</v>
      </c>
      <c r="K445" s="189">
        <v>119.20000000000002</v>
      </c>
      <c r="L445" s="187">
        <v>15</v>
      </c>
      <c r="M445" s="185" t="s">
        <v>271</v>
      </c>
      <c r="N445" s="185" t="s">
        <v>272</v>
      </c>
      <c r="O445" s="188" t="s">
        <v>274</v>
      </c>
      <c r="P445" s="189">
        <v>800120.67999999993</v>
      </c>
      <c r="Q445" s="189">
        <v>0</v>
      </c>
      <c r="R445" s="189">
        <v>0</v>
      </c>
      <c r="S445" s="189">
        <f t="shared" si="61"/>
        <v>800120.67999999993</v>
      </c>
      <c r="T445" s="189">
        <f t="shared" si="54"/>
        <v>3027.3200151343167</v>
      </c>
      <c r="U445" s="189">
        <f>T445</f>
        <v>3027.3200151343167</v>
      </c>
      <c r="V445" s="170">
        <f t="shared" si="58"/>
        <v>0</v>
      </c>
      <c r="W445" s="170"/>
      <c r="X445" s="170"/>
      <c r="Y445" s="173">
        <f t="shared" si="59"/>
        <v>4446.1364812712827</v>
      </c>
      <c r="AA445" s="173">
        <f t="shared" si="55"/>
        <v>225.04</v>
      </c>
      <c r="AC445" s="173" t="s">
        <v>112</v>
      </c>
      <c r="AD445" s="173">
        <v>556</v>
      </c>
      <c r="AH445" s="173" t="e">
        <f t="shared" si="56"/>
        <v>#N/A</v>
      </c>
      <c r="AS445" s="173" t="e">
        <f t="shared" si="57"/>
        <v>#N/A</v>
      </c>
    </row>
    <row r="446" spans="1:45" s="173" customFormat="1" ht="36" customHeight="1" x14ac:dyDescent="0.9">
      <c r="A446" s="173">
        <v>1</v>
      </c>
      <c r="B446" s="91">
        <f>SUBTOTAL(103,$A$16:A446)</f>
        <v>391</v>
      </c>
      <c r="C446" s="90" t="s">
        <v>1276</v>
      </c>
      <c r="D446" s="185">
        <v>19557</v>
      </c>
      <c r="E446" s="185"/>
      <c r="F446" s="191" t="s">
        <v>338</v>
      </c>
      <c r="G446" s="185">
        <v>2</v>
      </c>
      <c r="H446" s="185">
        <v>2</v>
      </c>
      <c r="I446" s="189">
        <v>394.7</v>
      </c>
      <c r="J446" s="189">
        <v>234.3</v>
      </c>
      <c r="K446" s="189">
        <v>234.3</v>
      </c>
      <c r="L446" s="187">
        <v>12</v>
      </c>
      <c r="M446" s="185" t="s">
        <v>271</v>
      </c>
      <c r="N446" s="185" t="s">
        <v>272</v>
      </c>
      <c r="O446" s="188" t="s">
        <v>274</v>
      </c>
      <c r="P446" s="189">
        <v>1220568.99</v>
      </c>
      <c r="Q446" s="189">
        <v>0</v>
      </c>
      <c r="R446" s="189">
        <v>0</v>
      </c>
      <c r="S446" s="189">
        <f t="shared" si="61"/>
        <v>1220568.99</v>
      </c>
      <c r="T446" s="189">
        <f t="shared" si="54"/>
        <v>3092.3967316949584</v>
      </c>
      <c r="U446" s="189">
        <f>Y446</f>
        <v>4458.4408411451741</v>
      </c>
      <c r="V446" s="170">
        <f t="shared" si="58"/>
        <v>1366.0441094502157</v>
      </c>
      <c r="W446" s="170"/>
      <c r="X446" s="170"/>
      <c r="Y446" s="173">
        <f t="shared" si="59"/>
        <v>4458.4408411451741</v>
      </c>
      <c r="AA446" s="173">
        <f t="shared" si="55"/>
        <v>337</v>
      </c>
      <c r="AC446" s="173" t="s">
        <v>57</v>
      </c>
      <c r="AD446" s="173">
        <v>794.3</v>
      </c>
      <c r="AH446" s="173" t="e">
        <f t="shared" si="56"/>
        <v>#N/A</v>
      </c>
      <c r="AS446" s="173" t="e">
        <f t="shared" si="57"/>
        <v>#N/A</v>
      </c>
    </row>
    <row r="447" spans="1:45" s="173" customFormat="1" ht="36" customHeight="1" x14ac:dyDescent="0.9">
      <c r="B447" s="90" t="s">
        <v>901</v>
      </c>
      <c r="C447" s="192"/>
      <c r="D447" s="185" t="s">
        <v>915</v>
      </c>
      <c r="E447" s="185" t="s">
        <v>915</v>
      </c>
      <c r="F447" s="185" t="s">
        <v>915</v>
      </c>
      <c r="G447" s="185" t="s">
        <v>915</v>
      </c>
      <c r="H447" s="185" t="s">
        <v>915</v>
      </c>
      <c r="I447" s="186">
        <f>I448</f>
        <v>609.5</v>
      </c>
      <c r="J447" s="186">
        <f>J448</f>
        <v>564.4</v>
      </c>
      <c r="K447" s="186">
        <f>K448</f>
        <v>202</v>
      </c>
      <c r="L447" s="187">
        <f>L448</f>
        <v>16</v>
      </c>
      <c r="M447" s="185" t="s">
        <v>915</v>
      </c>
      <c r="N447" s="185" t="s">
        <v>915</v>
      </c>
      <c r="O447" s="188" t="s">
        <v>915</v>
      </c>
      <c r="P447" s="189">
        <v>2521615.3599999999</v>
      </c>
      <c r="Q447" s="189">
        <f>Q448</f>
        <v>0</v>
      </c>
      <c r="R447" s="189">
        <f>R448</f>
        <v>492144.32</v>
      </c>
      <c r="S447" s="189">
        <f>S448</f>
        <v>2029471.0399999998</v>
      </c>
      <c r="T447" s="189">
        <f t="shared" si="54"/>
        <v>4137.1868088597212</v>
      </c>
      <c r="U447" s="189">
        <f>U448</f>
        <v>4384.7698769483186</v>
      </c>
      <c r="V447" s="170">
        <f t="shared" si="58"/>
        <v>247.58306808859743</v>
      </c>
      <c r="W447" s="170"/>
      <c r="X447" s="170"/>
      <c r="Y447" s="173" t="e">
        <f t="shared" si="59"/>
        <v>#N/A</v>
      </c>
      <c r="AA447" s="173" t="e">
        <f t="shared" si="55"/>
        <v>#N/A</v>
      </c>
      <c r="AC447" s="173" t="s">
        <v>41</v>
      </c>
      <c r="AD447" s="173">
        <v>1576</v>
      </c>
      <c r="AH447" s="173" t="e">
        <f t="shared" si="56"/>
        <v>#N/A</v>
      </c>
      <c r="AS447" s="173" t="e">
        <f t="shared" si="57"/>
        <v>#N/A</v>
      </c>
    </row>
    <row r="448" spans="1:45" s="173" customFormat="1" ht="36" customHeight="1" x14ac:dyDescent="0.9">
      <c r="A448" s="173">
        <v>1</v>
      </c>
      <c r="B448" s="91">
        <f>SUBTOTAL(103,$A$16:A448)</f>
        <v>392</v>
      </c>
      <c r="C448" s="90" t="s">
        <v>1280</v>
      </c>
      <c r="D448" s="185">
        <v>1917</v>
      </c>
      <c r="E448" s="185"/>
      <c r="F448" s="191" t="s">
        <v>273</v>
      </c>
      <c r="G448" s="185">
        <v>2</v>
      </c>
      <c r="H448" s="185">
        <v>1</v>
      </c>
      <c r="I448" s="189">
        <v>609.5</v>
      </c>
      <c r="J448" s="189">
        <v>564.4</v>
      </c>
      <c r="K448" s="189">
        <v>202</v>
      </c>
      <c r="L448" s="187">
        <v>16</v>
      </c>
      <c r="M448" s="185" t="s">
        <v>271</v>
      </c>
      <c r="N448" s="185" t="s">
        <v>272</v>
      </c>
      <c r="O448" s="188" t="s">
        <v>274</v>
      </c>
      <c r="P448" s="189">
        <v>2521615.3599999999</v>
      </c>
      <c r="Q448" s="189">
        <v>0</v>
      </c>
      <c r="R448" s="189">
        <v>492144.32</v>
      </c>
      <c r="S448" s="189">
        <f>P448-Q448-R448</f>
        <v>2029471.0399999998</v>
      </c>
      <c r="T448" s="189">
        <f t="shared" si="54"/>
        <v>4137.1868088597212</v>
      </c>
      <c r="U448" s="189">
        <f>Y448</f>
        <v>4384.7698769483186</v>
      </c>
      <c r="V448" s="170">
        <f t="shared" si="58"/>
        <v>247.58306808859743</v>
      </c>
      <c r="W448" s="170"/>
      <c r="X448" s="170"/>
      <c r="Y448" s="173">
        <f t="shared" si="59"/>
        <v>4384.7698769483186</v>
      </c>
      <c r="AA448" s="173">
        <f t="shared" si="55"/>
        <v>511.8</v>
      </c>
      <c r="AC448" s="173" t="s">
        <v>55</v>
      </c>
      <c r="AD448" s="173">
        <v>609.79999999999995</v>
      </c>
      <c r="AH448" s="173" t="e">
        <f t="shared" si="56"/>
        <v>#N/A</v>
      </c>
      <c r="AS448" s="173" t="e">
        <f t="shared" si="57"/>
        <v>#N/A</v>
      </c>
    </row>
    <row r="449" spans="1:45" s="173" customFormat="1" ht="36" customHeight="1" x14ac:dyDescent="0.9">
      <c r="B449" s="90" t="s">
        <v>908</v>
      </c>
      <c r="C449" s="90"/>
      <c r="D449" s="185" t="s">
        <v>915</v>
      </c>
      <c r="E449" s="185" t="s">
        <v>915</v>
      </c>
      <c r="F449" s="185" t="s">
        <v>915</v>
      </c>
      <c r="G449" s="185" t="s">
        <v>915</v>
      </c>
      <c r="H449" s="185" t="s">
        <v>915</v>
      </c>
      <c r="I449" s="189">
        <f>I450</f>
        <v>878.6</v>
      </c>
      <c r="J449" s="189">
        <f>J450</f>
        <v>516.76</v>
      </c>
      <c r="K449" s="189">
        <f>K450</f>
        <v>465.9</v>
      </c>
      <c r="L449" s="202">
        <f>L450</f>
        <v>65</v>
      </c>
      <c r="M449" s="185" t="s">
        <v>915</v>
      </c>
      <c r="N449" s="185" t="s">
        <v>915</v>
      </c>
      <c r="O449" s="188" t="s">
        <v>915</v>
      </c>
      <c r="P449" s="189">
        <v>3623254.4499999997</v>
      </c>
      <c r="Q449" s="189">
        <f>Q450</f>
        <v>0</v>
      </c>
      <c r="R449" s="189">
        <f>R450</f>
        <v>0</v>
      </c>
      <c r="S449" s="189">
        <f>S450</f>
        <v>3623254.4499999997</v>
      </c>
      <c r="T449" s="189">
        <f t="shared" si="54"/>
        <v>4123.8953448668335</v>
      </c>
      <c r="U449" s="189">
        <f>U450</f>
        <v>4976.3409287502836</v>
      </c>
      <c r="V449" s="170">
        <f t="shared" si="58"/>
        <v>852.44558388345013</v>
      </c>
      <c r="W449" s="170"/>
      <c r="X449" s="170"/>
      <c r="Y449" s="173" t="e">
        <f t="shared" si="59"/>
        <v>#N/A</v>
      </c>
      <c r="AA449" s="173" t="e">
        <f t="shared" si="55"/>
        <v>#N/A</v>
      </c>
      <c r="AC449" s="173" t="s">
        <v>46</v>
      </c>
      <c r="AD449" s="173">
        <v>716.7</v>
      </c>
      <c r="AH449" s="173" t="e">
        <f t="shared" si="56"/>
        <v>#N/A</v>
      </c>
      <c r="AS449" s="173" t="e">
        <f t="shared" si="57"/>
        <v>#N/A</v>
      </c>
    </row>
    <row r="450" spans="1:45" s="173" customFormat="1" ht="36" customHeight="1" x14ac:dyDescent="0.9">
      <c r="A450" s="173">
        <v>1</v>
      </c>
      <c r="B450" s="91">
        <f>SUBTOTAL(103,$A$16:A450)</f>
        <v>393</v>
      </c>
      <c r="C450" s="90" t="s">
        <v>1597</v>
      </c>
      <c r="D450" s="185">
        <v>1979</v>
      </c>
      <c r="E450" s="185"/>
      <c r="F450" s="191" t="s">
        <v>273</v>
      </c>
      <c r="G450" s="185">
        <v>2</v>
      </c>
      <c r="H450" s="185">
        <v>2</v>
      </c>
      <c r="I450" s="189">
        <v>878.6</v>
      </c>
      <c r="J450" s="189">
        <v>516.76</v>
      </c>
      <c r="K450" s="189">
        <v>465.9</v>
      </c>
      <c r="L450" s="187">
        <v>65</v>
      </c>
      <c r="M450" s="185" t="s">
        <v>271</v>
      </c>
      <c r="N450" s="185" t="s">
        <v>272</v>
      </c>
      <c r="O450" s="188" t="s">
        <v>274</v>
      </c>
      <c r="P450" s="189">
        <v>3623254.4499999997</v>
      </c>
      <c r="Q450" s="189">
        <v>0</v>
      </c>
      <c r="R450" s="189">
        <v>0</v>
      </c>
      <c r="S450" s="189">
        <f>P450-R450-Q450</f>
        <v>3623254.4499999997</v>
      </c>
      <c r="T450" s="189">
        <f t="shared" si="54"/>
        <v>4123.8953448668335</v>
      </c>
      <c r="U450" s="189">
        <f>Y450</f>
        <v>4976.3409287502836</v>
      </c>
      <c r="V450" s="170">
        <f t="shared" si="58"/>
        <v>852.44558388345013</v>
      </c>
      <c r="W450" s="170"/>
      <c r="X450" s="170"/>
      <c r="Y450" s="173">
        <f t="shared" si="59"/>
        <v>4976.3409287502836</v>
      </c>
      <c r="AA450" s="173">
        <f t="shared" si="55"/>
        <v>837.3</v>
      </c>
      <c r="AC450" s="173" t="s">
        <v>1644</v>
      </c>
      <c r="AD450" s="173">
        <v>611.9</v>
      </c>
      <c r="AH450" s="173" t="e">
        <f t="shared" si="56"/>
        <v>#N/A</v>
      </c>
      <c r="AS450" s="173" t="e">
        <f t="shared" si="57"/>
        <v>#N/A</v>
      </c>
    </row>
    <row r="451" spans="1:45" s="173" customFormat="1" ht="36" customHeight="1" x14ac:dyDescent="0.9">
      <c r="B451" s="90" t="s">
        <v>872</v>
      </c>
      <c r="C451" s="192"/>
      <c r="D451" s="185" t="s">
        <v>915</v>
      </c>
      <c r="E451" s="185" t="s">
        <v>915</v>
      </c>
      <c r="F451" s="185" t="s">
        <v>915</v>
      </c>
      <c r="G451" s="185" t="s">
        <v>915</v>
      </c>
      <c r="H451" s="185" t="s">
        <v>915</v>
      </c>
      <c r="I451" s="186">
        <f>I452</f>
        <v>940.6</v>
      </c>
      <c r="J451" s="186">
        <f>J452</f>
        <v>495.6</v>
      </c>
      <c r="K451" s="186">
        <f>K452</f>
        <v>495.6</v>
      </c>
      <c r="L451" s="187">
        <f>L452</f>
        <v>33</v>
      </c>
      <c r="M451" s="185" t="s">
        <v>915</v>
      </c>
      <c r="N451" s="185" t="s">
        <v>915</v>
      </c>
      <c r="O451" s="188" t="s">
        <v>915</v>
      </c>
      <c r="P451" s="189">
        <v>5198352.66</v>
      </c>
      <c r="Q451" s="189">
        <f>Q452</f>
        <v>0</v>
      </c>
      <c r="R451" s="189">
        <f>R452</f>
        <v>0</v>
      </c>
      <c r="S451" s="189">
        <f>S452</f>
        <v>5198352.66</v>
      </c>
      <c r="T451" s="189">
        <f t="shared" si="54"/>
        <v>5526.6347650435891</v>
      </c>
      <c r="U451" s="189">
        <f>T451</f>
        <v>5526.6347650435891</v>
      </c>
      <c r="V451" s="170">
        <f t="shared" si="58"/>
        <v>0</v>
      </c>
      <c r="W451" s="170"/>
      <c r="X451" s="170"/>
      <c r="Y451" s="173" t="e">
        <f t="shared" si="59"/>
        <v>#N/A</v>
      </c>
      <c r="AA451" s="173" t="e">
        <f t="shared" si="55"/>
        <v>#N/A</v>
      </c>
      <c r="AC451" s="173" t="s">
        <v>54</v>
      </c>
      <c r="AD451" s="173">
        <v>1669.2</v>
      </c>
      <c r="AH451" s="173" t="e">
        <f t="shared" si="56"/>
        <v>#N/A</v>
      </c>
      <c r="AS451" s="173" t="e">
        <f t="shared" si="57"/>
        <v>#N/A</v>
      </c>
    </row>
    <row r="452" spans="1:45" s="173" customFormat="1" ht="36" customHeight="1" x14ac:dyDescent="0.9">
      <c r="A452" s="173">
        <v>1</v>
      </c>
      <c r="B452" s="91">
        <f>SUBTOTAL(103,$A$16:A452)</f>
        <v>394</v>
      </c>
      <c r="C452" s="90" t="s">
        <v>232</v>
      </c>
      <c r="D452" s="185">
        <v>1995</v>
      </c>
      <c r="E452" s="185"/>
      <c r="F452" s="191" t="s">
        <v>273</v>
      </c>
      <c r="G452" s="185">
        <v>2</v>
      </c>
      <c r="H452" s="185">
        <v>3</v>
      </c>
      <c r="I452" s="189">
        <v>940.6</v>
      </c>
      <c r="J452" s="189">
        <v>495.6</v>
      </c>
      <c r="K452" s="189">
        <v>495.6</v>
      </c>
      <c r="L452" s="187">
        <v>33</v>
      </c>
      <c r="M452" s="185" t="s">
        <v>271</v>
      </c>
      <c r="N452" s="185" t="s">
        <v>275</v>
      </c>
      <c r="O452" s="188" t="s">
        <v>726</v>
      </c>
      <c r="P452" s="189">
        <v>5198352.66</v>
      </c>
      <c r="Q452" s="189">
        <v>0</v>
      </c>
      <c r="R452" s="189">
        <v>0</v>
      </c>
      <c r="S452" s="189">
        <f>P452-Q452-R452</f>
        <v>5198352.66</v>
      </c>
      <c r="T452" s="189">
        <f t="shared" si="54"/>
        <v>5526.6347650435891</v>
      </c>
      <c r="U452" s="189">
        <f>T452</f>
        <v>5526.6347650435891</v>
      </c>
      <c r="V452" s="170">
        <f t="shared" si="58"/>
        <v>0</v>
      </c>
      <c r="W452" s="170"/>
      <c r="X452" s="170"/>
      <c r="Y452" s="173">
        <f t="shared" si="59"/>
        <v>4476.6692366574525</v>
      </c>
      <c r="AA452" s="173">
        <f t="shared" si="55"/>
        <v>806.38</v>
      </c>
      <c r="AC452" s="173" t="s">
        <v>53</v>
      </c>
      <c r="AD452" s="173">
        <v>444</v>
      </c>
      <c r="AH452" s="173" t="e">
        <f t="shared" si="56"/>
        <v>#N/A</v>
      </c>
      <c r="AS452" s="173" t="e">
        <f t="shared" si="57"/>
        <v>#N/A</v>
      </c>
    </row>
    <row r="453" spans="1:45" s="173" customFormat="1" ht="36" customHeight="1" x14ac:dyDescent="0.9">
      <c r="B453" s="90" t="s">
        <v>873</v>
      </c>
      <c r="C453" s="90"/>
      <c r="D453" s="185" t="s">
        <v>915</v>
      </c>
      <c r="E453" s="185" t="s">
        <v>915</v>
      </c>
      <c r="F453" s="185" t="s">
        <v>915</v>
      </c>
      <c r="G453" s="185" t="s">
        <v>915</v>
      </c>
      <c r="H453" s="185" t="s">
        <v>915</v>
      </c>
      <c r="I453" s="186">
        <f>I454</f>
        <v>320</v>
      </c>
      <c r="J453" s="186">
        <f>J454</f>
        <v>282.42</v>
      </c>
      <c r="K453" s="186">
        <f>K454</f>
        <v>282.42</v>
      </c>
      <c r="L453" s="187">
        <f>L454</f>
        <v>19</v>
      </c>
      <c r="M453" s="185" t="s">
        <v>915</v>
      </c>
      <c r="N453" s="185" t="s">
        <v>915</v>
      </c>
      <c r="O453" s="188" t="s">
        <v>915</v>
      </c>
      <c r="P453" s="189">
        <v>1821119.2799999998</v>
      </c>
      <c r="Q453" s="189">
        <f>Q454</f>
        <v>0</v>
      </c>
      <c r="R453" s="189">
        <f>R454</f>
        <v>0</v>
      </c>
      <c r="S453" s="189">
        <f>S454</f>
        <v>1821119.2799999998</v>
      </c>
      <c r="T453" s="189">
        <f t="shared" si="54"/>
        <v>5690.9977499999995</v>
      </c>
      <c r="U453" s="189">
        <f t="shared" ref="U453:U458" si="63">T453</f>
        <v>5690.9977499999995</v>
      </c>
      <c r="V453" s="170">
        <f t="shared" si="58"/>
        <v>0</v>
      </c>
      <c r="W453" s="170"/>
      <c r="X453" s="170"/>
      <c r="Y453" s="173" t="e">
        <f t="shared" si="59"/>
        <v>#N/A</v>
      </c>
      <c r="AA453" s="173" t="e">
        <f t="shared" si="55"/>
        <v>#N/A</v>
      </c>
      <c r="AC453" s="173" t="s">
        <v>60</v>
      </c>
      <c r="AD453" s="173">
        <v>663</v>
      </c>
      <c r="AH453" s="173" t="e">
        <f t="shared" si="56"/>
        <v>#N/A</v>
      </c>
      <c r="AS453" s="173" t="e">
        <f t="shared" si="57"/>
        <v>#N/A</v>
      </c>
    </row>
    <row r="454" spans="1:45" s="173" customFormat="1" ht="36" customHeight="1" x14ac:dyDescent="0.9">
      <c r="A454" s="173">
        <v>1</v>
      </c>
      <c r="B454" s="91">
        <f>SUBTOTAL(103,$A$16:A454)</f>
        <v>395</v>
      </c>
      <c r="C454" s="90" t="s">
        <v>235</v>
      </c>
      <c r="D454" s="185">
        <v>1975</v>
      </c>
      <c r="E454" s="185"/>
      <c r="F454" s="191" t="s">
        <v>273</v>
      </c>
      <c r="G454" s="185">
        <v>2</v>
      </c>
      <c r="H454" s="185">
        <v>1</v>
      </c>
      <c r="I454" s="189">
        <v>320</v>
      </c>
      <c r="J454" s="189">
        <v>282.42</v>
      </c>
      <c r="K454" s="189">
        <v>282.42</v>
      </c>
      <c r="L454" s="187">
        <v>19</v>
      </c>
      <c r="M454" s="185" t="s">
        <v>271</v>
      </c>
      <c r="N454" s="185" t="s">
        <v>275</v>
      </c>
      <c r="O454" s="188" t="s">
        <v>726</v>
      </c>
      <c r="P454" s="189">
        <v>1821119.2799999998</v>
      </c>
      <c r="Q454" s="189">
        <v>0</v>
      </c>
      <c r="R454" s="189">
        <v>0</v>
      </c>
      <c r="S454" s="189">
        <f>P454-Q454-R454</f>
        <v>1821119.2799999998</v>
      </c>
      <c r="T454" s="189">
        <f t="shared" si="54"/>
        <v>5690.9977499999995</v>
      </c>
      <c r="U454" s="189">
        <f t="shared" si="63"/>
        <v>5690.9977499999995</v>
      </c>
      <c r="V454" s="170">
        <f t="shared" si="58"/>
        <v>0</v>
      </c>
      <c r="W454" s="170"/>
      <c r="X454" s="170"/>
      <c r="Y454" s="173">
        <f t="shared" si="59"/>
        <v>5035.7733750000007</v>
      </c>
      <c r="AA454" s="173">
        <f t="shared" si="55"/>
        <v>308.60000000000002</v>
      </c>
      <c r="AC454" s="173" t="s">
        <v>61</v>
      </c>
      <c r="AD454" s="173">
        <v>660</v>
      </c>
      <c r="AH454" s="173" t="e">
        <f t="shared" si="56"/>
        <v>#N/A</v>
      </c>
      <c r="AS454" s="173" t="e">
        <f t="shared" si="57"/>
        <v>#N/A</v>
      </c>
    </row>
    <row r="455" spans="1:45" s="173" customFormat="1" ht="36" customHeight="1" x14ac:dyDescent="0.9">
      <c r="B455" s="90" t="s">
        <v>1318</v>
      </c>
      <c r="C455" s="90"/>
      <c r="D455" s="185" t="s">
        <v>915</v>
      </c>
      <c r="E455" s="185" t="s">
        <v>915</v>
      </c>
      <c r="F455" s="185" t="s">
        <v>915</v>
      </c>
      <c r="G455" s="185" t="s">
        <v>915</v>
      </c>
      <c r="H455" s="185" t="s">
        <v>915</v>
      </c>
      <c r="I455" s="186">
        <f>I456</f>
        <v>953.9</v>
      </c>
      <c r="J455" s="186">
        <f>J456</f>
        <v>857.7</v>
      </c>
      <c r="K455" s="186">
        <f>K456</f>
        <v>857.7</v>
      </c>
      <c r="L455" s="187">
        <f>L456</f>
        <v>28</v>
      </c>
      <c r="M455" s="185" t="s">
        <v>915</v>
      </c>
      <c r="N455" s="185" t="s">
        <v>915</v>
      </c>
      <c r="O455" s="188" t="s">
        <v>915</v>
      </c>
      <c r="P455" s="189">
        <v>4974970.34</v>
      </c>
      <c r="Q455" s="189">
        <f>Q456</f>
        <v>0</v>
      </c>
      <c r="R455" s="189">
        <f>R456</f>
        <v>0</v>
      </c>
      <c r="S455" s="189">
        <f>S456</f>
        <v>4974970.34</v>
      </c>
      <c r="T455" s="189">
        <f t="shared" si="54"/>
        <v>5215.4002935318167</v>
      </c>
      <c r="U455" s="189">
        <f t="shared" si="63"/>
        <v>5215.4002935318167</v>
      </c>
      <c r="V455" s="170">
        <f t="shared" si="58"/>
        <v>0</v>
      </c>
      <c r="W455" s="170"/>
      <c r="X455" s="170"/>
      <c r="Y455" s="173" t="e">
        <f t="shared" si="59"/>
        <v>#N/A</v>
      </c>
      <c r="AA455" s="173" t="e">
        <f t="shared" si="55"/>
        <v>#N/A</v>
      </c>
      <c r="AC455" s="173" t="s">
        <v>59</v>
      </c>
      <c r="AD455" s="173">
        <v>647</v>
      </c>
      <c r="AH455" s="173" t="e">
        <f t="shared" si="56"/>
        <v>#N/A</v>
      </c>
      <c r="AS455" s="173" t="e">
        <f t="shared" si="57"/>
        <v>#N/A</v>
      </c>
    </row>
    <row r="456" spans="1:45" s="173" customFormat="1" ht="36" customHeight="1" x14ac:dyDescent="0.9">
      <c r="A456" s="173">
        <v>1</v>
      </c>
      <c r="B456" s="91">
        <f>SUBTOTAL(103,$A$16:A456)</f>
        <v>396</v>
      </c>
      <c r="C456" s="90" t="s">
        <v>1319</v>
      </c>
      <c r="D456" s="185">
        <v>1984</v>
      </c>
      <c r="E456" s="185"/>
      <c r="F456" s="191" t="s">
        <v>273</v>
      </c>
      <c r="G456" s="185">
        <v>2</v>
      </c>
      <c r="H456" s="185">
        <v>3</v>
      </c>
      <c r="I456" s="189">
        <v>953.9</v>
      </c>
      <c r="J456" s="189">
        <v>857.7</v>
      </c>
      <c r="K456" s="189">
        <v>857.7</v>
      </c>
      <c r="L456" s="187">
        <v>28</v>
      </c>
      <c r="M456" s="185" t="s">
        <v>271</v>
      </c>
      <c r="N456" s="185" t="s">
        <v>272</v>
      </c>
      <c r="O456" s="188" t="s">
        <v>274</v>
      </c>
      <c r="P456" s="189">
        <v>4974970.34</v>
      </c>
      <c r="Q456" s="189">
        <v>0</v>
      </c>
      <c r="R456" s="189">
        <v>0</v>
      </c>
      <c r="S456" s="189">
        <f>P456-Q456-R456</f>
        <v>4974970.34</v>
      </c>
      <c r="T456" s="189">
        <f t="shared" si="54"/>
        <v>5215.4002935318167</v>
      </c>
      <c r="U456" s="189">
        <f t="shared" si="63"/>
        <v>5215.4002935318167</v>
      </c>
      <c r="V456" s="170">
        <f t="shared" si="58"/>
        <v>0</v>
      </c>
      <c r="W456" s="170"/>
      <c r="X456" s="170"/>
      <c r="Y456" s="173">
        <f t="shared" si="59"/>
        <v>4023.5066568822731</v>
      </c>
      <c r="AA456" s="173">
        <f t="shared" si="55"/>
        <v>735</v>
      </c>
      <c r="AC456" s="173" t="s">
        <v>62</v>
      </c>
      <c r="AD456" s="173">
        <v>536.20000000000005</v>
      </c>
      <c r="AH456" s="173" t="e">
        <f t="shared" si="56"/>
        <v>#N/A</v>
      </c>
      <c r="AS456" s="173" t="e">
        <f t="shared" si="57"/>
        <v>#N/A</v>
      </c>
    </row>
    <row r="457" spans="1:45" s="173" customFormat="1" ht="36" customHeight="1" x14ac:dyDescent="0.9">
      <c r="B457" s="90" t="s">
        <v>874</v>
      </c>
      <c r="C457" s="192"/>
      <c r="D457" s="185" t="s">
        <v>915</v>
      </c>
      <c r="E457" s="185" t="s">
        <v>915</v>
      </c>
      <c r="F457" s="185" t="s">
        <v>915</v>
      </c>
      <c r="G457" s="185" t="s">
        <v>915</v>
      </c>
      <c r="H457" s="185" t="s">
        <v>915</v>
      </c>
      <c r="I457" s="186">
        <f>I458</f>
        <v>1446.38</v>
      </c>
      <c r="J457" s="186">
        <f>J458</f>
        <v>996.18</v>
      </c>
      <c r="K457" s="186">
        <f>K458</f>
        <v>229.3</v>
      </c>
      <c r="L457" s="187">
        <f>L458</f>
        <v>93</v>
      </c>
      <c r="M457" s="185" t="s">
        <v>915</v>
      </c>
      <c r="N457" s="185" t="s">
        <v>915</v>
      </c>
      <c r="O457" s="188" t="s">
        <v>915</v>
      </c>
      <c r="P457" s="189">
        <v>5368567.4000000004</v>
      </c>
      <c r="Q457" s="189">
        <f>Q458</f>
        <v>0</v>
      </c>
      <c r="R457" s="189">
        <f>R458</f>
        <v>0</v>
      </c>
      <c r="S457" s="189">
        <f>S458</f>
        <v>5368567.4000000004</v>
      </c>
      <c r="T457" s="189">
        <f t="shared" si="54"/>
        <v>3711.7267937886309</v>
      </c>
      <c r="U457" s="189">
        <f t="shared" si="63"/>
        <v>3711.7267937886309</v>
      </c>
      <c r="V457" s="170">
        <f t="shared" si="58"/>
        <v>0</v>
      </c>
      <c r="W457" s="170"/>
      <c r="X457" s="170"/>
      <c r="Y457" s="173" t="e">
        <f t="shared" si="59"/>
        <v>#N/A</v>
      </c>
      <c r="AA457" s="173" t="e">
        <f t="shared" si="55"/>
        <v>#N/A</v>
      </c>
      <c r="AC457" s="173" t="s">
        <v>58</v>
      </c>
      <c r="AD457" s="173">
        <v>651.20000000000005</v>
      </c>
      <c r="AH457" s="173" t="e">
        <f t="shared" si="56"/>
        <v>#N/A</v>
      </c>
      <c r="AS457" s="173" t="e">
        <f t="shared" si="57"/>
        <v>#N/A</v>
      </c>
    </row>
    <row r="458" spans="1:45" s="173" customFormat="1" ht="36" customHeight="1" x14ac:dyDescent="0.9">
      <c r="A458" s="173">
        <v>1</v>
      </c>
      <c r="B458" s="91">
        <f>SUBTOTAL(103,$A$16:A458)</f>
        <v>397</v>
      </c>
      <c r="C458" s="90" t="s">
        <v>141</v>
      </c>
      <c r="D458" s="185">
        <v>1983</v>
      </c>
      <c r="E458" s="185"/>
      <c r="F458" s="191" t="s">
        <v>273</v>
      </c>
      <c r="G458" s="185">
        <v>2</v>
      </c>
      <c r="H458" s="185">
        <v>1</v>
      </c>
      <c r="I458" s="189">
        <v>1446.38</v>
      </c>
      <c r="J458" s="189">
        <v>996.18</v>
      </c>
      <c r="K458" s="189">
        <v>229.3</v>
      </c>
      <c r="L458" s="187">
        <v>93</v>
      </c>
      <c r="M458" s="185" t="s">
        <v>271</v>
      </c>
      <c r="N458" s="185" t="s">
        <v>275</v>
      </c>
      <c r="O458" s="188" t="s">
        <v>1019</v>
      </c>
      <c r="P458" s="189">
        <v>5368567.4000000004</v>
      </c>
      <c r="Q458" s="189">
        <v>0</v>
      </c>
      <c r="R458" s="189">
        <v>0</v>
      </c>
      <c r="S458" s="189">
        <f>P458-Q458-R458</f>
        <v>5368567.4000000004</v>
      </c>
      <c r="T458" s="189">
        <f t="shared" si="54"/>
        <v>3711.7267937886309</v>
      </c>
      <c r="U458" s="189">
        <f t="shared" si="63"/>
        <v>3711.7267937886309</v>
      </c>
      <c r="V458" s="170">
        <f t="shared" si="58"/>
        <v>0</v>
      </c>
      <c r="W458" s="170"/>
      <c r="X458" s="170"/>
      <c r="Y458" s="173">
        <f t="shared" si="59"/>
        <v>3538.0494752416375</v>
      </c>
      <c r="AA458" s="173">
        <f t="shared" si="55"/>
        <v>980</v>
      </c>
      <c r="AC458" s="173" t="s">
        <v>234</v>
      </c>
      <c r="AD458" s="173">
        <v>858</v>
      </c>
      <c r="AH458" s="173" t="e">
        <f t="shared" si="56"/>
        <v>#N/A</v>
      </c>
      <c r="AS458" s="173" t="e">
        <f t="shared" si="57"/>
        <v>#N/A</v>
      </c>
    </row>
    <row r="459" spans="1:45" s="173" customFormat="1" ht="36" customHeight="1" x14ac:dyDescent="0.9">
      <c r="B459" s="90" t="s">
        <v>875</v>
      </c>
      <c r="C459" s="90"/>
      <c r="D459" s="185" t="s">
        <v>915</v>
      </c>
      <c r="E459" s="185" t="s">
        <v>915</v>
      </c>
      <c r="F459" s="185" t="s">
        <v>915</v>
      </c>
      <c r="G459" s="185" t="s">
        <v>915</v>
      </c>
      <c r="H459" s="185" t="s">
        <v>915</v>
      </c>
      <c r="I459" s="186">
        <f>I460</f>
        <v>676.3</v>
      </c>
      <c r="J459" s="186">
        <f>J460</f>
        <v>631.49</v>
      </c>
      <c r="K459" s="186">
        <f>K460</f>
        <v>546.79</v>
      </c>
      <c r="L459" s="187">
        <f>L460</f>
        <v>33</v>
      </c>
      <c r="M459" s="185" t="s">
        <v>915</v>
      </c>
      <c r="N459" s="185" t="s">
        <v>915</v>
      </c>
      <c r="O459" s="188" t="s">
        <v>915</v>
      </c>
      <c r="P459" s="189">
        <v>2682382.0500000003</v>
      </c>
      <c r="Q459" s="189">
        <f>Q460</f>
        <v>0</v>
      </c>
      <c r="R459" s="189">
        <f>R460</f>
        <v>0</v>
      </c>
      <c r="S459" s="189">
        <f>S460</f>
        <v>2682382.0500000003</v>
      </c>
      <c r="T459" s="189">
        <f t="shared" si="54"/>
        <v>3966.2606091971024</v>
      </c>
      <c r="U459" s="189">
        <f>U460</f>
        <v>4857.3404493798917</v>
      </c>
      <c r="V459" s="170">
        <f t="shared" si="58"/>
        <v>891.07984018278921</v>
      </c>
      <c r="W459" s="170"/>
      <c r="X459" s="170"/>
      <c r="Y459" s="173" t="e">
        <f t="shared" si="59"/>
        <v>#N/A</v>
      </c>
      <c r="AA459" s="173" t="e">
        <f t="shared" si="55"/>
        <v>#N/A</v>
      </c>
      <c r="AC459" s="173" t="s">
        <v>233</v>
      </c>
      <c r="AD459" s="173">
        <v>345</v>
      </c>
      <c r="AH459" s="173" t="e">
        <f t="shared" si="56"/>
        <v>#N/A</v>
      </c>
      <c r="AS459" s="173" t="e">
        <f t="shared" si="57"/>
        <v>#N/A</v>
      </c>
    </row>
    <row r="460" spans="1:45" s="173" customFormat="1" ht="36" customHeight="1" x14ac:dyDescent="0.9">
      <c r="A460" s="173">
        <v>1</v>
      </c>
      <c r="B460" s="91">
        <f>SUBTOTAL(103,$A$16:A460)</f>
        <v>398</v>
      </c>
      <c r="C460" s="90" t="s">
        <v>146</v>
      </c>
      <c r="D460" s="185">
        <v>1965</v>
      </c>
      <c r="E460" s="185"/>
      <c r="F460" s="191" t="s">
        <v>273</v>
      </c>
      <c r="G460" s="185">
        <v>2</v>
      </c>
      <c r="H460" s="185">
        <v>2</v>
      </c>
      <c r="I460" s="189">
        <v>676.3</v>
      </c>
      <c r="J460" s="189">
        <v>631.49</v>
      </c>
      <c r="K460" s="189">
        <v>546.79</v>
      </c>
      <c r="L460" s="187">
        <v>33</v>
      </c>
      <c r="M460" s="185" t="s">
        <v>271</v>
      </c>
      <c r="N460" s="185" t="s">
        <v>275</v>
      </c>
      <c r="O460" s="188" t="s">
        <v>294</v>
      </c>
      <c r="P460" s="189">
        <v>2682382.0500000003</v>
      </c>
      <c r="Q460" s="189">
        <v>0</v>
      </c>
      <c r="R460" s="189">
        <v>0</v>
      </c>
      <c r="S460" s="189">
        <f>P460-Q460-R460</f>
        <v>2682382.0500000003</v>
      </c>
      <c r="T460" s="189">
        <f t="shared" si="54"/>
        <v>3966.2606091971024</v>
      </c>
      <c r="U460" s="189">
        <f>Y460</f>
        <v>4857.3404493798917</v>
      </c>
      <c r="V460" s="170">
        <f t="shared" si="58"/>
        <v>891.07984018278921</v>
      </c>
      <c r="W460" s="170"/>
      <c r="X460" s="170"/>
      <c r="Y460" s="173">
        <f t="shared" si="59"/>
        <v>4857.3404493798917</v>
      </c>
      <c r="AA460" s="173">
        <f t="shared" si="55"/>
        <v>629.09712090000005</v>
      </c>
      <c r="AC460" s="173" t="s">
        <v>151</v>
      </c>
      <c r="AD460" s="173">
        <v>300</v>
      </c>
      <c r="AH460" s="173" t="e">
        <f t="shared" si="56"/>
        <v>#N/A</v>
      </c>
      <c r="AS460" s="173" t="e">
        <f t="shared" si="57"/>
        <v>#N/A</v>
      </c>
    </row>
    <row r="461" spans="1:45" s="173" customFormat="1" ht="36" customHeight="1" x14ac:dyDescent="0.9">
      <c r="B461" s="90" t="s">
        <v>876</v>
      </c>
      <c r="C461" s="90"/>
      <c r="D461" s="185" t="s">
        <v>915</v>
      </c>
      <c r="E461" s="185" t="s">
        <v>915</v>
      </c>
      <c r="F461" s="185" t="s">
        <v>915</v>
      </c>
      <c r="G461" s="185" t="s">
        <v>915</v>
      </c>
      <c r="H461" s="185" t="s">
        <v>915</v>
      </c>
      <c r="I461" s="186">
        <f>SUM(I462:I466)</f>
        <v>3415.58</v>
      </c>
      <c r="J461" s="186">
        <f>SUM(J462:J466)</f>
        <v>3004.1000000000004</v>
      </c>
      <c r="K461" s="186">
        <f>SUM(K462:K466)</f>
        <v>2955.3</v>
      </c>
      <c r="L461" s="187">
        <f>SUM(L462:L466)</f>
        <v>141</v>
      </c>
      <c r="M461" s="185" t="s">
        <v>915</v>
      </c>
      <c r="N461" s="185" t="s">
        <v>915</v>
      </c>
      <c r="O461" s="188" t="s">
        <v>915</v>
      </c>
      <c r="P461" s="189">
        <v>11742480.740000002</v>
      </c>
      <c r="Q461" s="189">
        <f>SUM(Q462:Q466)</f>
        <v>0</v>
      </c>
      <c r="R461" s="189">
        <f>SUM(R462:R466)</f>
        <v>0</v>
      </c>
      <c r="S461" s="189">
        <f>SUM(S462:S466)</f>
        <v>11742480.740000002</v>
      </c>
      <c r="T461" s="189">
        <f t="shared" si="54"/>
        <v>3437.9170565467657</v>
      </c>
      <c r="U461" s="189">
        <f>MAX(U462:U466)</f>
        <v>6590.812635692575</v>
      </c>
      <c r="V461" s="170">
        <f t="shared" si="58"/>
        <v>3152.8955791458093</v>
      </c>
      <c r="W461" s="170"/>
      <c r="X461" s="170"/>
      <c r="Y461" s="173" t="e">
        <f t="shared" si="59"/>
        <v>#N/A</v>
      </c>
      <c r="AA461" s="173" t="e">
        <f t="shared" si="55"/>
        <v>#N/A</v>
      </c>
      <c r="AC461" s="173" t="s">
        <v>152</v>
      </c>
      <c r="AD461" s="173">
        <v>660.00388180300001</v>
      </c>
      <c r="AH461" s="173" t="e">
        <f t="shared" si="56"/>
        <v>#N/A</v>
      </c>
      <c r="AS461" s="173" t="e">
        <f t="shared" si="57"/>
        <v>#N/A</v>
      </c>
    </row>
    <row r="462" spans="1:45" s="173" customFormat="1" ht="36" customHeight="1" x14ac:dyDescent="0.9">
      <c r="A462" s="173">
        <v>1</v>
      </c>
      <c r="B462" s="91">
        <f>SUBTOTAL(103,$A$16:A462)</f>
        <v>399</v>
      </c>
      <c r="C462" s="90" t="s">
        <v>144</v>
      </c>
      <c r="D462" s="185">
        <v>1983</v>
      </c>
      <c r="E462" s="185"/>
      <c r="F462" s="191" t="s">
        <v>273</v>
      </c>
      <c r="G462" s="185">
        <v>3</v>
      </c>
      <c r="H462" s="185">
        <v>2</v>
      </c>
      <c r="I462" s="189">
        <v>1387.1</v>
      </c>
      <c r="J462" s="189">
        <v>1285.0999999999999</v>
      </c>
      <c r="K462" s="189">
        <v>1285.0999999999999</v>
      </c>
      <c r="L462" s="187">
        <v>57</v>
      </c>
      <c r="M462" s="185" t="s">
        <v>271</v>
      </c>
      <c r="N462" s="185" t="s">
        <v>275</v>
      </c>
      <c r="O462" s="188" t="s">
        <v>295</v>
      </c>
      <c r="P462" s="189">
        <v>3824431.2399999998</v>
      </c>
      <c r="Q462" s="189">
        <v>0</v>
      </c>
      <c r="R462" s="189">
        <v>0</v>
      </c>
      <c r="S462" s="189">
        <f>P462-Q462-R462</f>
        <v>3824431.2399999998</v>
      </c>
      <c r="T462" s="189">
        <f t="shared" ref="T462:T525" si="64">P462/I462</f>
        <v>2757.1416912983923</v>
      </c>
      <c r="U462" s="189">
        <v>2757.1416912983923</v>
      </c>
      <c r="V462" s="170">
        <f t="shared" si="58"/>
        <v>0</v>
      </c>
      <c r="W462" s="170"/>
      <c r="X462" s="170"/>
      <c r="Y462" s="173" t="e">
        <f t="shared" si="59"/>
        <v>#N/A</v>
      </c>
      <c r="AA462" s="173" t="e">
        <f t="shared" si="55"/>
        <v>#N/A</v>
      </c>
      <c r="AC462" s="173" t="s">
        <v>157</v>
      </c>
      <c r="AD462" s="173">
        <v>600</v>
      </c>
      <c r="AH462" s="173" t="e">
        <f t="shared" si="56"/>
        <v>#N/A</v>
      </c>
      <c r="AS462" s="173" t="e">
        <f t="shared" si="57"/>
        <v>#N/A</v>
      </c>
    </row>
    <row r="463" spans="1:45" s="173" customFormat="1" ht="36" customHeight="1" x14ac:dyDescent="0.9">
      <c r="A463" s="173">
        <v>1</v>
      </c>
      <c r="B463" s="91">
        <f>SUBTOTAL(103,$A$16:A463)</f>
        <v>400</v>
      </c>
      <c r="C463" s="90" t="s">
        <v>145</v>
      </c>
      <c r="D463" s="185">
        <v>1964</v>
      </c>
      <c r="E463" s="185"/>
      <c r="F463" s="191" t="s">
        <v>273</v>
      </c>
      <c r="G463" s="185">
        <v>2</v>
      </c>
      <c r="H463" s="185">
        <v>1</v>
      </c>
      <c r="I463" s="189">
        <v>337.2</v>
      </c>
      <c r="J463" s="189">
        <v>313.2</v>
      </c>
      <c r="K463" s="189">
        <v>313.2</v>
      </c>
      <c r="L463" s="187">
        <v>19</v>
      </c>
      <c r="M463" s="185" t="s">
        <v>271</v>
      </c>
      <c r="N463" s="185" t="s">
        <v>275</v>
      </c>
      <c r="O463" s="188" t="s">
        <v>295</v>
      </c>
      <c r="P463" s="189">
        <v>1510400.1400000001</v>
      </c>
      <c r="Q463" s="189">
        <v>0</v>
      </c>
      <c r="R463" s="189">
        <v>0</v>
      </c>
      <c r="S463" s="189">
        <f>P463-Q463-R463</f>
        <v>1510400.1400000001</v>
      </c>
      <c r="T463" s="189">
        <f t="shared" si="64"/>
        <v>4479.2412218268091</v>
      </c>
      <c r="U463" s="189">
        <f>Y463</f>
        <v>4921.3761565836303</v>
      </c>
      <c r="V463" s="170">
        <f t="shared" si="58"/>
        <v>442.13493475682117</v>
      </c>
      <c r="W463" s="170"/>
      <c r="X463" s="170"/>
      <c r="Y463" s="173">
        <f t="shared" si="59"/>
        <v>4921.3761565836303</v>
      </c>
      <c r="AA463" s="173">
        <f t="shared" si="55"/>
        <v>317.8</v>
      </c>
      <c r="AC463" s="173" t="s">
        <v>156</v>
      </c>
      <c r="AD463" s="173">
        <v>785</v>
      </c>
      <c r="AH463" s="173" t="e">
        <f t="shared" si="56"/>
        <v>#N/A</v>
      </c>
      <c r="AS463" s="173" t="e">
        <f t="shared" si="57"/>
        <v>#N/A</v>
      </c>
    </row>
    <row r="464" spans="1:45" s="173" customFormat="1" ht="36" customHeight="1" x14ac:dyDescent="0.9">
      <c r="A464" s="173">
        <v>1</v>
      </c>
      <c r="B464" s="91">
        <f>SUBTOTAL(103,$A$16:A464)</f>
        <v>401</v>
      </c>
      <c r="C464" s="90" t="s">
        <v>1289</v>
      </c>
      <c r="D464" s="185">
        <v>1962</v>
      </c>
      <c r="E464" s="185"/>
      <c r="F464" s="191" t="s">
        <v>273</v>
      </c>
      <c r="G464" s="185">
        <v>2</v>
      </c>
      <c r="H464" s="185">
        <v>1</v>
      </c>
      <c r="I464" s="189">
        <v>658.78</v>
      </c>
      <c r="J464" s="189">
        <v>373.3</v>
      </c>
      <c r="K464" s="189">
        <v>373.3</v>
      </c>
      <c r="L464" s="187">
        <v>21</v>
      </c>
      <c r="M464" s="185" t="s">
        <v>271</v>
      </c>
      <c r="N464" s="185" t="s">
        <v>272</v>
      </c>
      <c r="O464" s="188" t="s">
        <v>274</v>
      </c>
      <c r="P464" s="189">
        <v>1911218.1</v>
      </c>
      <c r="Q464" s="189">
        <v>0</v>
      </c>
      <c r="R464" s="189">
        <v>0</v>
      </c>
      <c r="S464" s="189">
        <f>P464-Q464-R464</f>
        <v>1911218.1</v>
      </c>
      <c r="T464" s="189">
        <f t="shared" si="64"/>
        <v>2901.1477276177179</v>
      </c>
      <c r="U464" s="189">
        <f>AG464</f>
        <v>5250.8614626305916</v>
      </c>
      <c r="V464" s="170">
        <f t="shared" si="58"/>
        <v>2349.7137350128737</v>
      </c>
      <c r="W464" s="170"/>
      <c r="X464" s="170"/>
      <c r="Y464" s="173" t="e">
        <f t="shared" si="59"/>
        <v>#N/A</v>
      </c>
      <c r="AA464" s="173" t="e">
        <f t="shared" ref="AA464:AA527" si="65">VLOOKUP(C464,AC:AE,2,FALSE)</f>
        <v>#N/A</v>
      </c>
      <c r="AC464" s="173" t="s">
        <v>155</v>
      </c>
      <c r="AD464" s="173">
        <v>602.30499999999995</v>
      </c>
      <c r="AG464" s="173">
        <f>AH464*6191.24/J464</f>
        <v>5250.8614626305916</v>
      </c>
      <c r="AH464" s="173">
        <f t="shared" ref="AH464:AH527" si="66">VLOOKUP(C464,AJ:AK,2,FALSE)</f>
        <v>316.60000000000002</v>
      </c>
      <c r="AS464" s="173" t="e">
        <f t="shared" ref="AS464:AS527" si="67">VLOOKUP(C464,AU:AV,2,FALSE)</f>
        <v>#N/A</v>
      </c>
    </row>
    <row r="465" spans="1:45" s="173" customFormat="1" ht="36" customHeight="1" x14ac:dyDescent="0.9">
      <c r="A465" s="173">
        <v>1</v>
      </c>
      <c r="B465" s="91">
        <f>SUBTOTAL(103,$A$16:A465)</f>
        <v>402</v>
      </c>
      <c r="C465" s="90" t="s">
        <v>1290</v>
      </c>
      <c r="D465" s="185">
        <v>1961</v>
      </c>
      <c r="E465" s="185"/>
      <c r="F465" s="191" t="s">
        <v>273</v>
      </c>
      <c r="G465" s="185">
        <v>2</v>
      </c>
      <c r="H465" s="185">
        <v>1</v>
      </c>
      <c r="I465" s="189">
        <v>230.3</v>
      </c>
      <c r="J465" s="189">
        <v>230.3</v>
      </c>
      <c r="K465" s="189">
        <v>181.5</v>
      </c>
      <c r="L465" s="187">
        <v>8</v>
      </c>
      <c r="M465" s="185" t="s">
        <v>271</v>
      </c>
      <c r="N465" s="185" t="s">
        <v>275</v>
      </c>
      <c r="O465" s="188" t="s">
        <v>295</v>
      </c>
      <c r="P465" s="189">
        <v>1517864.1500000001</v>
      </c>
      <c r="Q465" s="189">
        <v>0</v>
      </c>
      <c r="R465" s="189">
        <v>0</v>
      </c>
      <c r="S465" s="189">
        <f>P465-Q465-R465</f>
        <v>1517864.1500000001</v>
      </c>
      <c r="T465" s="189">
        <f t="shared" si="64"/>
        <v>6590.812635692575</v>
      </c>
      <c r="U465" s="189">
        <f>T465</f>
        <v>6590.812635692575</v>
      </c>
      <c r="V465" s="170">
        <f t="shared" si="58"/>
        <v>0</v>
      </c>
      <c r="W465" s="170"/>
      <c r="X465" s="170"/>
      <c r="Y465" s="173">
        <f t="shared" si="59"/>
        <v>4303.5069040382114</v>
      </c>
      <c r="AA465" s="173">
        <f t="shared" si="65"/>
        <v>189.8</v>
      </c>
      <c r="AC465" s="173" t="s">
        <v>148</v>
      </c>
      <c r="AD465" s="173">
        <v>1101.8</v>
      </c>
      <c r="AH465" s="173" t="e">
        <f t="shared" si="66"/>
        <v>#N/A</v>
      </c>
      <c r="AS465" s="173" t="e">
        <f t="shared" si="67"/>
        <v>#N/A</v>
      </c>
    </row>
    <row r="466" spans="1:45" s="173" customFormat="1" ht="36" customHeight="1" x14ac:dyDescent="0.9">
      <c r="A466" s="173">
        <v>1</v>
      </c>
      <c r="B466" s="91">
        <f>SUBTOTAL(103,$A$16:A466)</f>
        <v>403</v>
      </c>
      <c r="C466" s="90" t="s">
        <v>1325</v>
      </c>
      <c r="D466" s="185">
        <v>1974</v>
      </c>
      <c r="E466" s="185"/>
      <c r="F466" s="191" t="s">
        <v>273</v>
      </c>
      <c r="G466" s="185">
        <v>2</v>
      </c>
      <c r="H466" s="185">
        <v>2</v>
      </c>
      <c r="I466" s="189">
        <v>802.2</v>
      </c>
      <c r="J466" s="189">
        <v>802.2</v>
      </c>
      <c r="K466" s="189">
        <v>802.2</v>
      </c>
      <c r="L466" s="187">
        <v>36</v>
      </c>
      <c r="M466" s="185" t="s">
        <v>271</v>
      </c>
      <c r="N466" s="185" t="s">
        <v>272</v>
      </c>
      <c r="O466" s="188" t="s">
        <v>274</v>
      </c>
      <c r="P466" s="189">
        <v>2978567.1100000003</v>
      </c>
      <c r="Q466" s="189">
        <v>0</v>
      </c>
      <c r="R466" s="189">
        <v>0</v>
      </c>
      <c r="S466" s="189">
        <f>P466-Q466-R466</f>
        <v>2978567.1100000003</v>
      </c>
      <c r="T466" s="189">
        <f t="shared" si="64"/>
        <v>3712.9981426078289</v>
      </c>
      <c r="U466" s="189">
        <f>Y466</f>
        <v>3884.7796559461476</v>
      </c>
      <c r="V466" s="170">
        <f t="shared" si="58"/>
        <v>171.78151333831875</v>
      </c>
      <c r="W466" s="170"/>
      <c r="X466" s="170"/>
      <c r="Y466" s="173">
        <f t="shared" si="59"/>
        <v>3884.7796559461476</v>
      </c>
      <c r="AA466" s="173">
        <f t="shared" si="65"/>
        <v>596.79999999999995</v>
      </c>
      <c r="AC466" s="173" t="s">
        <v>160</v>
      </c>
      <c r="AD466" s="173">
        <v>1541.85</v>
      </c>
      <c r="AH466" s="173" t="e">
        <f t="shared" si="66"/>
        <v>#N/A</v>
      </c>
      <c r="AS466" s="173" t="e">
        <f t="shared" si="67"/>
        <v>#N/A</v>
      </c>
    </row>
    <row r="467" spans="1:45" s="173" customFormat="1" ht="36" customHeight="1" x14ac:dyDescent="0.9">
      <c r="B467" s="90" t="s">
        <v>877</v>
      </c>
      <c r="C467" s="90"/>
      <c r="D467" s="185" t="s">
        <v>915</v>
      </c>
      <c r="E467" s="185" t="s">
        <v>915</v>
      </c>
      <c r="F467" s="185" t="s">
        <v>915</v>
      </c>
      <c r="G467" s="185" t="s">
        <v>915</v>
      </c>
      <c r="H467" s="185" t="s">
        <v>915</v>
      </c>
      <c r="I467" s="186">
        <f>SUM(I468:I478)</f>
        <v>39848.200000000004</v>
      </c>
      <c r="J467" s="186">
        <f>SUM(J468:J478)</f>
        <v>19167.72</v>
      </c>
      <c r="K467" s="186">
        <f>SUM(K468:K478)</f>
        <v>30272.280000000002</v>
      </c>
      <c r="L467" s="187">
        <f>SUM(L468:L478)</f>
        <v>1332</v>
      </c>
      <c r="M467" s="185" t="s">
        <v>915</v>
      </c>
      <c r="N467" s="185" t="s">
        <v>915</v>
      </c>
      <c r="O467" s="188" t="s">
        <v>915</v>
      </c>
      <c r="P467" s="186">
        <v>40245217.780000009</v>
      </c>
      <c r="Q467" s="186">
        <f>SUM(Q468:Q478)</f>
        <v>0</v>
      </c>
      <c r="R467" s="186">
        <f>SUM(R468:R478)</f>
        <v>0</v>
      </c>
      <c r="S467" s="186">
        <f>SUM(S468:S478)</f>
        <v>40245217.780000009</v>
      </c>
      <c r="T467" s="189">
        <f t="shared" si="64"/>
        <v>1009.963255052926</v>
      </c>
      <c r="U467" s="189">
        <f>MAX(U468:U478)</f>
        <v>5085.205090252708</v>
      </c>
      <c r="V467" s="170">
        <f t="shared" ref="V467:V530" si="68">U467-T467</f>
        <v>4075.2418351997821</v>
      </c>
      <c r="W467" s="170"/>
      <c r="X467" s="170"/>
      <c r="Y467" s="173" t="e">
        <f t="shared" ref="Y467:Y530" si="69">AA467*5221.8/I467</f>
        <v>#N/A</v>
      </c>
      <c r="AA467" s="173" t="e">
        <f t="shared" si="65"/>
        <v>#N/A</v>
      </c>
      <c r="AC467" s="173" t="s">
        <v>97</v>
      </c>
      <c r="AD467" s="173">
        <v>770</v>
      </c>
      <c r="AH467" s="173" t="e">
        <f t="shared" si="66"/>
        <v>#N/A</v>
      </c>
      <c r="AS467" s="173" t="e">
        <f t="shared" si="67"/>
        <v>#N/A</v>
      </c>
    </row>
    <row r="468" spans="1:45" s="173" customFormat="1" ht="36" customHeight="1" x14ac:dyDescent="0.9">
      <c r="A468" s="173">
        <v>1</v>
      </c>
      <c r="B468" s="91">
        <f>SUBTOTAL(103,$A$16:A468)</f>
        <v>404</v>
      </c>
      <c r="C468" s="90" t="s">
        <v>147</v>
      </c>
      <c r="D468" s="185">
        <v>1976</v>
      </c>
      <c r="E468" s="185"/>
      <c r="F468" s="191" t="s">
        <v>293</v>
      </c>
      <c r="G468" s="185">
        <v>5</v>
      </c>
      <c r="H468" s="185">
        <v>8</v>
      </c>
      <c r="I468" s="189">
        <v>8133.81</v>
      </c>
      <c r="J468" s="189">
        <v>3519.76</v>
      </c>
      <c r="K468" s="189">
        <v>322.68</v>
      </c>
      <c r="L468" s="187">
        <v>200</v>
      </c>
      <c r="M468" s="185" t="s">
        <v>271</v>
      </c>
      <c r="N468" s="185" t="s">
        <v>275</v>
      </c>
      <c r="O468" s="188" t="s">
        <v>296</v>
      </c>
      <c r="P468" s="189">
        <v>5610321.0300000003</v>
      </c>
      <c r="Q468" s="189">
        <v>0</v>
      </c>
      <c r="R468" s="189">
        <v>0</v>
      </c>
      <c r="S468" s="189">
        <f t="shared" ref="S468:S475" si="70">P468-Q468-R468</f>
        <v>5610321.0300000003</v>
      </c>
      <c r="T468" s="189">
        <f t="shared" si="64"/>
        <v>689.75314520501468</v>
      </c>
      <c r="U468" s="189">
        <f>Y468</f>
        <v>979.15851980806042</v>
      </c>
      <c r="V468" s="170">
        <f t="shared" si="68"/>
        <v>289.40537460304574</v>
      </c>
      <c r="W468" s="170"/>
      <c r="X468" s="170"/>
      <c r="Y468" s="173">
        <f t="shared" si="69"/>
        <v>979.15851980806042</v>
      </c>
      <c r="AA468" s="173">
        <f t="shared" si="65"/>
        <v>1525.2</v>
      </c>
      <c r="AC468" s="173" t="s">
        <v>96</v>
      </c>
      <c r="AD468" s="173">
        <v>958</v>
      </c>
      <c r="AH468" s="173" t="e">
        <f t="shared" si="66"/>
        <v>#N/A</v>
      </c>
      <c r="AS468" s="173" t="e">
        <f t="shared" si="67"/>
        <v>#N/A</v>
      </c>
    </row>
    <row r="469" spans="1:45" s="173" customFormat="1" ht="36" customHeight="1" x14ac:dyDescent="0.9">
      <c r="A469" s="173">
        <v>1</v>
      </c>
      <c r="B469" s="91">
        <f>SUBTOTAL(103,$A$16:A469)</f>
        <v>405</v>
      </c>
      <c r="C469" s="90" t="s">
        <v>142</v>
      </c>
      <c r="D469" s="185">
        <v>1969</v>
      </c>
      <c r="E469" s="185"/>
      <c r="F469" s="191" t="s">
        <v>293</v>
      </c>
      <c r="G469" s="185">
        <v>5</v>
      </c>
      <c r="H469" s="185">
        <v>5</v>
      </c>
      <c r="I469" s="189">
        <v>7171.2</v>
      </c>
      <c r="J469" s="189">
        <v>2897.5</v>
      </c>
      <c r="K469" s="189">
        <v>181.3</v>
      </c>
      <c r="L469" s="187">
        <v>156</v>
      </c>
      <c r="M469" s="185" t="s">
        <v>271</v>
      </c>
      <c r="N469" s="185" t="s">
        <v>275</v>
      </c>
      <c r="O469" s="188" t="s">
        <v>296</v>
      </c>
      <c r="P469" s="189">
        <v>5343157.95</v>
      </c>
      <c r="Q469" s="189">
        <v>0</v>
      </c>
      <c r="R469" s="189">
        <v>0</v>
      </c>
      <c r="S469" s="189">
        <f t="shared" si="70"/>
        <v>5343157.95</v>
      </c>
      <c r="T469" s="189">
        <f t="shared" si="64"/>
        <v>745.08561328647932</v>
      </c>
      <c r="U469" s="189">
        <f>Y469</f>
        <v>830.10542168674704</v>
      </c>
      <c r="V469" s="170">
        <f t="shared" si="68"/>
        <v>85.019808400267721</v>
      </c>
      <c r="W469" s="170"/>
      <c r="X469" s="170"/>
      <c r="Y469" s="173">
        <f t="shared" si="69"/>
        <v>830.10542168674704</v>
      </c>
      <c r="AA469" s="173">
        <f t="shared" si="65"/>
        <v>1140</v>
      </c>
      <c r="AC469" s="173" t="s">
        <v>98</v>
      </c>
      <c r="AD469" s="173">
        <v>590</v>
      </c>
      <c r="AH469" s="173" t="e">
        <f t="shared" si="66"/>
        <v>#N/A</v>
      </c>
      <c r="AS469" s="173" t="e">
        <f t="shared" si="67"/>
        <v>#N/A</v>
      </c>
    </row>
    <row r="470" spans="1:45" s="173" customFormat="1" ht="36" customHeight="1" x14ac:dyDescent="0.9">
      <c r="A470" s="173">
        <v>1</v>
      </c>
      <c r="B470" s="91">
        <f>SUBTOTAL(103,$A$16:A470)</f>
        <v>406</v>
      </c>
      <c r="C470" s="90" t="s">
        <v>143</v>
      </c>
      <c r="D470" s="185">
        <v>1987</v>
      </c>
      <c r="E470" s="185"/>
      <c r="F470" s="191" t="s">
        <v>293</v>
      </c>
      <c r="G470" s="185">
        <v>5</v>
      </c>
      <c r="H470" s="185">
        <v>7</v>
      </c>
      <c r="I470" s="189">
        <v>7649.2</v>
      </c>
      <c r="J470" s="189">
        <v>3077.1</v>
      </c>
      <c r="K470" s="189">
        <v>260.8</v>
      </c>
      <c r="L470" s="187">
        <v>237</v>
      </c>
      <c r="M470" s="185" t="s">
        <v>271</v>
      </c>
      <c r="N470" s="185" t="s">
        <v>275</v>
      </c>
      <c r="O470" s="188" t="s">
        <v>296</v>
      </c>
      <c r="P470" s="189">
        <v>5046150.49</v>
      </c>
      <c r="Q470" s="189">
        <v>0</v>
      </c>
      <c r="R470" s="189">
        <v>0</v>
      </c>
      <c r="S470" s="189">
        <f t="shared" si="70"/>
        <v>5046150.49</v>
      </c>
      <c r="T470" s="189">
        <f t="shared" si="64"/>
        <v>659.69650290226434</v>
      </c>
      <c r="U470" s="189">
        <f>Y470</f>
        <v>937.70126026251103</v>
      </c>
      <c r="V470" s="170">
        <f t="shared" si="68"/>
        <v>278.00475736024669</v>
      </c>
      <c r="W470" s="170"/>
      <c r="X470" s="170"/>
      <c r="Y470" s="173">
        <f t="shared" si="69"/>
        <v>937.70126026251103</v>
      </c>
      <c r="AA470" s="173">
        <f t="shared" si="65"/>
        <v>1373.6</v>
      </c>
      <c r="AC470" s="173" t="s">
        <v>99</v>
      </c>
      <c r="AD470" s="173">
        <v>700</v>
      </c>
      <c r="AH470" s="173" t="e">
        <f t="shared" si="66"/>
        <v>#N/A</v>
      </c>
      <c r="AS470" s="173" t="e">
        <f t="shared" si="67"/>
        <v>#N/A</v>
      </c>
    </row>
    <row r="471" spans="1:45" s="173" customFormat="1" ht="36" customHeight="1" x14ac:dyDescent="0.9">
      <c r="A471" s="173">
        <v>1</v>
      </c>
      <c r="B471" s="91">
        <f>SUBTOTAL(103,$A$16:A471)</f>
        <v>407</v>
      </c>
      <c r="C471" s="90" t="s">
        <v>1281</v>
      </c>
      <c r="D471" s="185">
        <v>1963</v>
      </c>
      <c r="E471" s="185"/>
      <c r="F471" s="191" t="s">
        <v>273</v>
      </c>
      <c r="G471" s="185">
        <v>2</v>
      </c>
      <c r="H471" s="185">
        <v>2</v>
      </c>
      <c r="I471" s="189">
        <v>626.52</v>
      </c>
      <c r="J471" s="189">
        <v>622.79999999999995</v>
      </c>
      <c r="K471" s="189">
        <v>582.25</v>
      </c>
      <c r="L471" s="187">
        <v>45</v>
      </c>
      <c r="M471" s="185" t="s">
        <v>271</v>
      </c>
      <c r="N471" s="185" t="s">
        <v>275</v>
      </c>
      <c r="O471" s="188" t="s">
        <v>296</v>
      </c>
      <c r="P471" s="189">
        <v>1438516.04</v>
      </c>
      <c r="Q471" s="189">
        <v>0</v>
      </c>
      <c r="R471" s="189">
        <v>0</v>
      </c>
      <c r="S471" s="189">
        <f t="shared" si="70"/>
        <v>1438516.04</v>
      </c>
      <c r="T471" s="189">
        <f t="shared" si="64"/>
        <v>2296.0416906084406</v>
      </c>
      <c r="U471" s="189">
        <v>3697.55</v>
      </c>
      <c r="V471" s="170">
        <f t="shared" si="68"/>
        <v>1401.5083093915596</v>
      </c>
      <c r="W471" s="170"/>
      <c r="X471" s="170"/>
      <c r="Y471" s="173" t="e">
        <f t="shared" si="69"/>
        <v>#N/A</v>
      </c>
      <c r="AA471" s="173" t="e">
        <f t="shared" si="65"/>
        <v>#N/A</v>
      </c>
      <c r="AC471" s="173" t="s">
        <v>100</v>
      </c>
      <c r="AD471" s="173">
        <v>590</v>
      </c>
      <c r="AH471" s="173" t="e">
        <f t="shared" si="66"/>
        <v>#N/A</v>
      </c>
      <c r="AS471" s="173" t="e">
        <f t="shared" si="67"/>
        <v>#N/A</v>
      </c>
    </row>
    <row r="472" spans="1:45" s="173" customFormat="1" ht="36" customHeight="1" x14ac:dyDescent="0.9">
      <c r="A472" s="173">
        <v>1</v>
      </c>
      <c r="B472" s="91">
        <f>SUBTOTAL(103,$A$16:A472)</f>
        <v>408</v>
      </c>
      <c r="C472" s="90" t="s">
        <v>1282</v>
      </c>
      <c r="D472" s="185" t="s">
        <v>314</v>
      </c>
      <c r="E472" s="185"/>
      <c r="F472" s="191" t="s">
        <v>273</v>
      </c>
      <c r="G472" s="185" t="s">
        <v>311</v>
      </c>
      <c r="H472" s="185" t="s">
        <v>311</v>
      </c>
      <c r="I472" s="189">
        <v>1132.77</v>
      </c>
      <c r="J472" s="189">
        <v>555.08000000000004</v>
      </c>
      <c r="K472" s="189">
        <v>555.08000000000004</v>
      </c>
      <c r="L472" s="187">
        <v>42</v>
      </c>
      <c r="M472" s="185" t="s">
        <v>271</v>
      </c>
      <c r="N472" s="185" t="s">
        <v>275</v>
      </c>
      <c r="O472" s="188" t="s">
        <v>296</v>
      </c>
      <c r="P472" s="189">
        <v>1354269.58</v>
      </c>
      <c r="Q472" s="189">
        <v>0</v>
      </c>
      <c r="R472" s="189">
        <v>0</v>
      </c>
      <c r="S472" s="189">
        <f t="shared" si="70"/>
        <v>1354269.58</v>
      </c>
      <c r="T472" s="189">
        <f t="shared" si="64"/>
        <v>1195.5379997704742</v>
      </c>
      <c r="U472" s="189">
        <v>3697.55</v>
      </c>
      <c r="V472" s="170">
        <f t="shared" si="68"/>
        <v>2502.0120002295262</v>
      </c>
      <c r="W472" s="170"/>
      <c r="X472" s="170"/>
      <c r="Y472" s="173" t="e">
        <f t="shared" si="69"/>
        <v>#N/A</v>
      </c>
      <c r="AA472" s="173" t="e">
        <f t="shared" si="65"/>
        <v>#N/A</v>
      </c>
      <c r="AC472" s="173" t="s">
        <v>193</v>
      </c>
      <c r="AD472" s="173">
        <v>696</v>
      </c>
      <c r="AH472" s="173" t="e">
        <f t="shared" si="66"/>
        <v>#N/A</v>
      </c>
      <c r="AS472" s="173" t="e">
        <f t="shared" si="67"/>
        <v>#N/A</v>
      </c>
    </row>
    <row r="473" spans="1:45" s="173" customFormat="1" ht="36" customHeight="1" x14ac:dyDescent="0.9">
      <c r="A473" s="173">
        <v>1</v>
      </c>
      <c r="B473" s="91">
        <f>SUBTOTAL(103,$A$16:A473)</f>
        <v>409</v>
      </c>
      <c r="C473" s="90" t="s">
        <v>1283</v>
      </c>
      <c r="D473" s="185">
        <v>1964</v>
      </c>
      <c r="E473" s="185"/>
      <c r="F473" s="191" t="s">
        <v>273</v>
      </c>
      <c r="G473" s="185">
        <v>2</v>
      </c>
      <c r="H473" s="185">
        <v>4</v>
      </c>
      <c r="I473" s="189">
        <v>768.3</v>
      </c>
      <c r="J473" s="189">
        <v>281.60000000000002</v>
      </c>
      <c r="K473" s="189">
        <v>253.5</v>
      </c>
      <c r="L473" s="187">
        <v>100</v>
      </c>
      <c r="M473" s="185" t="s">
        <v>271</v>
      </c>
      <c r="N473" s="185" t="s">
        <v>275</v>
      </c>
      <c r="O473" s="188" t="s">
        <v>294</v>
      </c>
      <c r="P473" s="189">
        <v>1409084.5899999999</v>
      </c>
      <c r="Q473" s="189">
        <v>0</v>
      </c>
      <c r="R473" s="189">
        <v>0</v>
      </c>
      <c r="S473" s="189">
        <f t="shared" si="70"/>
        <v>1409084.5899999999</v>
      </c>
      <c r="T473" s="189">
        <f t="shared" si="64"/>
        <v>1834.0291422621372</v>
      </c>
      <c r="U473" s="189">
        <v>2753.19</v>
      </c>
      <c r="V473" s="170">
        <f t="shared" si="68"/>
        <v>919.1608577378629</v>
      </c>
      <c r="W473" s="170"/>
      <c r="X473" s="170"/>
      <c r="Y473" s="173" t="e">
        <f t="shared" si="69"/>
        <v>#N/A</v>
      </c>
      <c r="AA473" s="173" t="e">
        <f t="shared" si="65"/>
        <v>#N/A</v>
      </c>
      <c r="AC473" s="173" t="s">
        <v>194</v>
      </c>
      <c r="AD473" s="173">
        <v>510</v>
      </c>
      <c r="AH473" s="173" t="e">
        <f t="shared" si="66"/>
        <v>#N/A</v>
      </c>
      <c r="AS473" s="173" t="e">
        <f t="shared" si="67"/>
        <v>#N/A</v>
      </c>
    </row>
    <row r="474" spans="1:45" s="173" customFormat="1" ht="36" customHeight="1" x14ac:dyDescent="0.9">
      <c r="A474" s="173">
        <v>1</v>
      </c>
      <c r="B474" s="91">
        <f>SUBTOTAL(103,$A$16:A474)</f>
        <v>410</v>
      </c>
      <c r="C474" s="90" t="s">
        <v>1311</v>
      </c>
      <c r="D474" s="185">
        <v>1958</v>
      </c>
      <c r="E474" s="185"/>
      <c r="F474" s="191" t="s">
        <v>273</v>
      </c>
      <c r="G474" s="185">
        <v>2</v>
      </c>
      <c r="H474" s="185">
        <v>2</v>
      </c>
      <c r="I474" s="189">
        <v>554</v>
      </c>
      <c r="J474" s="189">
        <v>554</v>
      </c>
      <c r="K474" s="189">
        <v>521.69000000000005</v>
      </c>
      <c r="L474" s="187">
        <v>30</v>
      </c>
      <c r="M474" s="185" t="s">
        <v>271</v>
      </c>
      <c r="N474" s="185" t="s">
        <v>275</v>
      </c>
      <c r="O474" s="188" t="s">
        <v>294</v>
      </c>
      <c r="P474" s="189">
        <v>2817203.62</v>
      </c>
      <c r="Q474" s="189">
        <v>0</v>
      </c>
      <c r="R474" s="189">
        <v>0</v>
      </c>
      <c r="S474" s="189">
        <f t="shared" si="70"/>
        <v>2817203.62</v>
      </c>
      <c r="T474" s="189">
        <f t="shared" si="64"/>
        <v>5085.205090252708</v>
      </c>
      <c r="U474" s="189">
        <f>T474</f>
        <v>5085.205090252708</v>
      </c>
      <c r="V474" s="170">
        <f t="shared" si="68"/>
        <v>0</v>
      </c>
      <c r="W474" s="170"/>
      <c r="X474" s="170"/>
      <c r="Y474" s="173">
        <f t="shared" si="69"/>
        <v>4712.8158844765339</v>
      </c>
      <c r="AA474" s="173">
        <f t="shared" si="65"/>
        <v>500</v>
      </c>
      <c r="AC474" s="173" t="s">
        <v>197</v>
      </c>
      <c r="AD474" s="173">
        <v>838.33</v>
      </c>
      <c r="AH474" s="173" t="e">
        <f t="shared" si="66"/>
        <v>#N/A</v>
      </c>
      <c r="AS474" s="173" t="e">
        <f t="shared" si="67"/>
        <v>#N/A</v>
      </c>
    </row>
    <row r="475" spans="1:45" s="173" customFormat="1" ht="36" customHeight="1" x14ac:dyDescent="0.9">
      <c r="A475" s="173">
        <v>1</v>
      </c>
      <c r="B475" s="91">
        <f>SUBTOTAL(103,$A$16:A475)</f>
        <v>411</v>
      </c>
      <c r="C475" s="90" t="s">
        <v>1312</v>
      </c>
      <c r="D475" s="185">
        <v>1973</v>
      </c>
      <c r="E475" s="185"/>
      <c r="F475" s="191" t="s">
        <v>273</v>
      </c>
      <c r="G475" s="185">
        <v>5</v>
      </c>
      <c r="H475" s="185">
        <v>3</v>
      </c>
      <c r="I475" s="189">
        <v>3131.46</v>
      </c>
      <c r="J475" s="189">
        <v>3131.28</v>
      </c>
      <c r="K475" s="189">
        <v>3070.48</v>
      </c>
      <c r="L475" s="187">
        <v>208</v>
      </c>
      <c r="M475" s="185" t="s">
        <v>271</v>
      </c>
      <c r="N475" s="185" t="s">
        <v>275</v>
      </c>
      <c r="O475" s="188" t="s">
        <v>1384</v>
      </c>
      <c r="P475" s="189">
        <v>4994309.25</v>
      </c>
      <c r="Q475" s="189">
        <v>0</v>
      </c>
      <c r="R475" s="189">
        <v>0</v>
      </c>
      <c r="S475" s="189">
        <f t="shared" si="70"/>
        <v>4994309.25</v>
      </c>
      <c r="T475" s="189">
        <f t="shared" si="64"/>
        <v>1594.8820198884864</v>
      </c>
      <c r="U475" s="189">
        <f>Y475</f>
        <v>1597.4926711501985</v>
      </c>
      <c r="V475" s="170">
        <f t="shared" si="68"/>
        <v>2.6106512617120643</v>
      </c>
      <c r="W475" s="170"/>
      <c r="X475" s="170"/>
      <c r="Y475" s="173">
        <f t="shared" si="69"/>
        <v>1597.4926711501985</v>
      </c>
      <c r="AA475" s="173">
        <f t="shared" si="65"/>
        <v>958</v>
      </c>
      <c r="AC475" s="173" t="s">
        <v>216</v>
      </c>
      <c r="AD475" s="173">
        <v>1203</v>
      </c>
      <c r="AH475" s="173" t="e">
        <f t="shared" si="66"/>
        <v>#N/A</v>
      </c>
      <c r="AS475" s="173" t="e">
        <f t="shared" si="67"/>
        <v>#N/A</v>
      </c>
    </row>
    <row r="476" spans="1:45" s="173" customFormat="1" ht="36" customHeight="1" x14ac:dyDescent="0.9">
      <c r="A476" s="173">
        <v>1</v>
      </c>
      <c r="B476" s="91">
        <f>SUBTOTAL(103,$A$16:A476)</f>
        <v>412</v>
      </c>
      <c r="C476" s="90" t="s">
        <v>1604</v>
      </c>
      <c r="D476" s="185">
        <v>1961</v>
      </c>
      <c r="E476" s="185"/>
      <c r="F476" s="191" t="s">
        <v>1620</v>
      </c>
      <c r="G476" s="185">
        <v>2</v>
      </c>
      <c r="H476" s="185">
        <v>2</v>
      </c>
      <c r="I476" s="189">
        <v>970.74</v>
      </c>
      <c r="J476" s="189">
        <v>543.79999999999995</v>
      </c>
      <c r="K476" s="189">
        <f>J476</f>
        <v>543.79999999999995</v>
      </c>
      <c r="L476" s="187">
        <v>42</v>
      </c>
      <c r="M476" s="185" t="s">
        <v>271</v>
      </c>
      <c r="N476" s="185" t="s">
        <v>272</v>
      </c>
      <c r="O476" s="188" t="s">
        <v>274</v>
      </c>
      <c r="P476" s="189">
        <v>3228279.17</v>
      </c>
      <c r="Q476" s="189">
        <v>0</v>
      </c>
      <c r="R476" s="189">
        <v>0</v>
      </c>
      <c r="S476" s="189">
        <f>P476-R476-Q476</f>
        <v>3228279.17</v>
      </c>
      <c r="T476" s="189">
        <f t="shared" si="64"/>
        <v>3325.5858108247317</v>
      </c>
      <c r="U476" s="189">
        <f>T476</f>
        <v>3325.5858108247317</v>
      </c>
      <c r="V476" s="170">
        <f t="shared" si="68"/>
        <v>0</v>
      </c>
      <c r="W476" s="170"/>
      <c r="X476" s="170"/>
      <c r="Y476" s="173">
        <f t="shared" si="69"/>
        <v>2820.6348229185983</v>
      </c>
      <c r="AA476" s="173">
        <f t="shared" si="65"/>
        <v>524.36</v>
      </c>
      <c r="AC476" s="173" t="s">
        <v>217</v>
      </c>
      <c r="AD476" s="173">
        <v>584</v>
      </c>
      <c r="AH476" s="173" t="e">
        <f t="shared" si="66"/>
        <v>#N/A</v>
      </c>
      <c r="AS476" s="173" t="e">
        <f t="shared" si="67"/>
        <v>#N/A</v>
      </c>
    </row>
    <row r="477" spans="1:45" s="173" customFormat="1" ht="36" customHeight="1" x14ac:dyDescent="0.9">
      <c r="A477" s="173">
        <v>1</v>
      </c>
      <c r="B477" s="91">
        <f>SUBTOTAL(103,$A$16:A477)</f>
        <v>413</v>
      </c>
      <c r="C477" s="90" t="s">
        <v>153</v>
      </c>
      <c r="D477" s="185">
        <v>1983</v>
      </c>
      <c r="E477" s="185"/>
      <c r="F477" s="191" t="s">
        <v>293</v>
      </c>
      <c r="G477" s="185">
        <v>5</v>
      </c>
      <c r="H477" s="185">
        <v>4</v>
      </c>
      <c r="I477" s="186">
        <v>4333.8</v>
      </c>
      <c r="J477" s="186">
        <v>1755.3</v>
      </c>
      <c r="K477" s="186">
        <v>1755.3</v>
      </c>
      <c r="L477" s="187">
        <v>123</v>
      </c>
      <c r="M477" s="185" t="s">
        <v>271</v>
      </c>
      <c r="N477" s="185" t="s">
        <v>275</v>
      </c>
      <c r="O477" s="188" t="s">
        <v>299</v>
      </c>
      <c r="P477" s="189">
        <v>4659445.5299999993</v>
      </c>
      <c r="Q477" s="189">
        <v>0</v>
      </c>
      <c r="R477" s="189">
        <v>0</v>
      </c>
      <c r="S477" s="189">
        <f>P477-Q477-R477</f>
        <v>4659445.5299999993</v>
      </c>
      <c r="T477" s="189">
        <f t="shared" si="64"/>
        <v>1075.1408763671602</v>
      </c>
      <c r="U477" s="189">
        <f>T477</f>
        <v>1075.1408763671602</v>
      </c>
      <c r="V477" s="170">
        <f t="shared" si="68"/>
        <v>0</v>
      </c>
      <c r="W477" s="170"/>
      <c r="X477" s="170"/>
      <c r="Y477" s="173">
        <f t="shared" si="69"/>
        <v>1004.7669527896996</v>
      </c>
      <c r="AA477" s="173">
        <f t="shared" si="65"/>
        <v>833.9</v>
      </c>
      <c r="AC477" s="173" t="s">
        <v>229</v>
      </c>
      <c r="AD477" s="173">
        <v>686</v>
      </c>
      <c r="AH477" s="173" t="e">
        <f t="shared" si="66"/>
        <v>#N/A</v>
      </c>
      <c r="AS477" s="173" t="e">
        <f t="shared" si="67"/>
        <v>#N/A</v>
      </c>
    </row>
    <row r="478" spans="1:45" s="173" customFormat="1" ht="36" customHeight="1" x14ac:dyDescent="0.9">
      <c r="A478" s="173">
        <v>1</v>
      </c>
      <c r="B478" s="91">
        <f>SUBTOTAL(103,$A$16:A478)</f>
        <v>414</v>
      </c>
      <c r="C478" s="90" t="s">
        <v>154</v>
      </c>
      <c r="D478" s="185">
        <v>1985</v>
      </c>
      <c r="E478" s="185"/>
      <c r="F478" s="191" t="s">
        <v>293</v>
      </c>
      <c r="G478" s="185">
        <v>5</v>
      </c>
      <c r="H478" s="185">
        <v>5</v>
      </c>
      <c r="I478" s="186">
        <v>5376.4</v>
      </c>
      <c r="J478" s="186">
        <v>2229.5</v>
      </c>
      <c r="K478" s="186">
        <v>22225.4</v>
      </c>
      <c r="L478" s="187">
        <v>149</v>
      </c>
      <c r="M478" s="185" t="s">
        <v>271</v>
      </c>
      <c r="N478" s="185" t="s">
        <v>275</v>
      </c>
      <c r="O478" s="188" t="s">
        <v>299</v>
      </c>
      <c r="P478" s="189">
        <v>4344480.5299999993</v>
      </c>
      <c r="Q478" s="189">
        <v>0</v>
      </c>
      <c r="R478" s="189">
        <v>0</v>
      </c>
      <c r="S478" s="189">
        <f>P478-Q478-R478</f>
        <v>4344480.5299999993</v>
      </c>
      <c r="T478" s="189">
        <f t="shared" si="64"/>
        <v>808.06497470426302</v>
      </c>
      <c r="U478" s="189">
        <f>T478</f>
        <v>808.06497470426302</v>
      </c>
      <c r="V478" s="170">
        <f t="shared" si="68"/>
        <v>0</v>
      </c>
      <c r="W478" s="170"/>
      <c r="X478" s="170"/>
      <c r="Y478" s="173">
        <f t="shared" si="69"/>
        <v>1006.1123837512092</v>
      </c>
      <c r="AA478" s="173">
        <f t="shared" si="65"/>
        <v>1035.9000000000001</v>
      </c>
      <c r="AC478" s="173" t="s">
        <v>223</v>
      </c>
      <c r="AD478" s="173">
        <v>633.4</v>
      </c>
      <c r="AH478" s="173" t="e">
        <f t="shared" si="66"/>
        <v>#N/A</v>
      </c>
      <c r="AS478" s="173" t="e">
        <f t="shared" si="67"/>
        <v>#N/A</v>
      </c>
    </row>
    <row r="479" spans="1:45" s="173" customFormat="1" ht="36" customHeight="1" x14ac:dyDescent="0.9">
      <c r="B479" s="90" t="s">
        <v>878</v>
      </c>
      <c r="C479" s="90"/>
      <c r="D479" s="185" t="s">
        <v>915</v>
      </c>
      <c r="E479" s="185" t="s">
        <v>915</v>
      </c>
      <c r="F479" s="185" t="s">
        <v>915</v>
      </c>
      <c r="G479" s="185" t="s">
        <v>915</v>
      </c>
      <c r="H479" s="185" t="s">
        <v>915</v>
      </c>
      <c r="I479" s="186">
        <f>SUM(I480:I487)</f>
        <v>33276.850000000006</v>
      </c>
      <c r="J479" s="186">
        <f>SUM(J480:J487)</f>
        <v>22191.000000000004</v>
      </c>
      <c r="K479" s="186">
        <f>SUM(K480:K487)</f>
        <v>19832.54</v>
      </c>
      <c r="L479" s="187">
        <f>SUM(L480:L487)</f>
        <v>1281</v>
      </c>
      <c r="M479" s="185" t="s">
        <v>915</v>
      </c>
      <c r="N479" s="185" t="s">
        <v>915</v>
      </c>
      <c r="O479" s="188" t="s">
        <v>915</v>
      </c>
      <c r="P479" s="189">
        <v>34433820.410000004</v>
      </c>
      <c r="Q479" s="189">
        <f>SUM(Q480:Q487)</f>
        <v>0</v>
      </c>
      <c r="R479" s="189">
        <f>SUM(R480:R487)</f>
        <v>0</v>
      </c>
      <c r="S479" s="189">
        <f>SUM(S480:S487)</f>
        <v>34433820.410000004</v>
      </c>
      <c r="T479" s="189">
        <f t="shared" si="64"/>
        <v>1034.7680267212791</v>
      </c>
      <c r="U479" s="189">
        <f>MAX(U480:U487)</f>
        <v>4952.0159629248192</v>
      </c>
      <c r="V479" s="170">
        <f t="shared" si="68"/>
        <v>3917.2479362035401</v>
      </c>
      <c r="W479" s="170"/>
      <c r="X479" s="170"/>
      <c r="Y479" s="173" t="e">
        <f t="shared" si="69"/>
        <v>#N/A</v>
      </c>
      <c r="AA479" s="173" t="e">
        <f t="shared" si="65"/>
        <v>#N/A</v>
      </c>
      <c r="AC479" s="173" t="s">
        <v>580</v>
      </c>
      <c r="AD479" s="173">
        <v>736</v>
      </c>
      <c r="AH479" s="173" t="e">
        <f t="shared" si="66"/>
        <v>#N/A</v>
      </c>
      <c r="AS479" s="173" t="e">
        <f t="shared" si="67"/>
        <v>#N/A</v>
      </c>
    </row>
    <row r="480" spans="1:45" s="173" customFormat="1" ht="36" customHeight="1" x14ac:dyDescent="0.9">
      <c r="A480" s="173">
        <v>1</v>
      </c>
      <c r="B480" s="91">
        <f>SUBTOTAL(103,$A$16:A480)</f>
        <v>415</v>
      </c>
      <c r="C480" s="90" t="s">
        <v>138</v>
      </c>
      <c r="D480" s="185">
        <v>1982</v>
      </c>
      <c r="E480" s="185"/>
      <c r="F480" s="191" t="s">
        <v>273</v>
      </c>
      <c r="G480" s="185">
        <v>5</v>
      </c>
      <c r="H480" s="185">
        <v>6</v>
      </c>
      <c r="I480" s="189">
        <v>3868.3</v>
      </c>
      <c r="J480" s="189">
        <v>2289.6</v>
      </c>
      <c r="K480" s="189">
        <v>2289.6</v>
      </c>
      <c r="L480" s="187">
        <v>192</v>
      </c>
      <c r="M480" s="185" t="s">
        <v>271</v>
      </c>
      <c r="N480" s="185" t="s">
        <v>297</v>
      </c>
      <c r="O480" s="188" t="s">
        <v>309</v>
      </c>
      <c r="P480" s="189">
        <v>3588120.2</v>
      </c>
      <c r="Q480" s="189">
        <v>0</v>
      </c>
      <c r="R480" s="189">
        <v>0</v>
      </c>
      <c r="S480" s="189">
        <f t="shared" ref="S480:S487" si="71">P480-Q480-R480</f>
        <v>3588120.2</v>
      </c>
      <c r="T480" s="189">
        <f t="shared" si="64"/>
        <v>927.57030219993283</v>
      </c>
      <c r="U480" s="189">
        <f>T480</f>
        <v>927.57030219993283</v>
      </c>
      <c r="V480" s="170">
        <f t="shared" si="68"/>
        <v>0</v>
      </c>
      <c r="W480" s="170"/>
      <c r="X480" s="170"/>
      <c r="Y480" s="173">
        <f t="shared" si="69"/>
        <v>1434.1287697438152</v>
      </c>
      <c r="AA480" s="173">
        <f t="shared" si="65"/>
        <v>1062.4000000000001</v>
      </c>
      <c r="AC480" s="173" t="s">
        <v>581</v>
      </c>
      <c r="AD480" s="173">
        <v>230</v>
      </c>
      <c r="AH480" s="173" t="e">
        <f t="shared" si="66"/>
        <v>#N/A</v>
      </c>
      <c r="AS480" s="173" t="e">
        <f t="shared" si="67"/>
        <v>#N/A</v>
      </c>
    </row>
    <row r="481" spans="1:45" s="173" customFormat="1" ht="36" customHeight="1" x14ac:dyDescent="0.9">
      <c r="A481" s="173">
        <v>1</v>
      </c>
      <c r="B481" s="91">
        <f>SUBTOTAL(103,$A$16:A481)</f>
        <v>416</v>
      </c>
      <c r="C481" s="90" t="s">
        <v>140</v>
      </c>
      <c r="D481" s="185">
        <v>1964</v>
      </c>
      <c r="E481" s="185"/>
      <c r="F481" s="191" t="s">
        <v>273</v>
      </c>
      <c r="G481" s="185">
        <v>4</v>
      </c>
      <c r="H481" s="185">
        <v>2</v>
      </c>
      <c r="I481" s="189">
        <v>2499.9</v>
      </c>
      <c r="J481" s="189">
        <v>2061.5</v>
      </c>
      <c r="K481" s="189">
        <v>2061.5</v>
      </c>
      <c r="L481" s="187">
        <v>75</v>
      </c>
      <c r="M481" s="185" t="s">
        <v>271</v>
      </c>
      <c r="N481" s="185" t="s">
        <v>297</v>
      </c>
      <c r="O481" s="188" t="s">
        <v>298</v>
      </c>
      <c r="P481" s="189">
        <v>2381202.33</v>
      </c>
      <c r="Q481" s="189">
        <v>0</v>
      </c>
      <c r="R481" s="189">
        <v>0</v>
      </c>
      <c r="S481" s="189">
        <f t="shared" si="71"/>
        <v>2381202.33</v>
      </c>
      <c r="T481" s="189">
        <f t="shared" si="64"/>
        <v>952.51903276131043</v>
      </c>
      <c r="U481" s="189">
        <f>Y481</f>
        <v>965.08990519620772</v>
      </c>
      <c r="V481" s="170">
        <f t="shared" si="68"/>
        <v>12.570872434897296</v>
      </c>
      <c r="W481" s="170"/>
      <c r="X481" s="170"/>
      <c r="Y481" s="173">
        <f t="shared" si="69"/>
        <v>965.08990519620772</v>
      </c>
      <c r="AA481" s="173">
        <f t="shared" si="65"/>
        <v>462.03</v>
      </c>
      <c r="AC481" s="173" t="s">
        <v>1094</v>
      </c>
      <c r="AD481" s="173">
        <v>412</v>
      </c>
      <c r="AH481" s="173" t="e">
        <f t="shared" si="66"/>
        <v>#N/A</v>
      </c>
      <c r="AS481" s="173" t="e">
        <f t="shared" si="67"/>
        <v>#N/A</v>
      </c>
    </row>
    <row r="482" spans="1:45" s="173" customFormat="1" ht="36" customHeight="1" x14ac:dyDescent="0.9">
      <c r="A482" s="173">
        <v>1</v>
      </c>
      <c r="B482" s="91">
        <f>SUBTOTAL(103,$A$16:A482)</f>
        <v>417</v>
      </c>
      <c r="C482" s="90" t="s">
        <v>149</v>
      </c>
      <c r="D482" s="185">
        <v>1972</v>
      </c>
      <c r="E482" s="185"/>
      <c r="F482" s="191" t="s">
        <v>273</v>
      </c>
      <c r="G482" s="185">
        <v>5</v>
      </c>
      <c r="H482" s="185">
        <v>8</v>
      </c>
      <c r="I482" s="189">
        <v>8090.9</v>
      </c>
      <c r="J482" s="189">
        <v>6096.3</v>
      </c>
      <c r="K482" s="189">
        <v>5723.68</v>
      </c>
      <c r="L482" s="187">
        <v>307</v>
      </c>
      <c r="M482" s="185" t="s">
        <v>271</v>
      </c>
      <c r="N482" s="185" t="s">
        <v>275</v>
      </c>
      <c r="O482" s="188" t="s">
        <v>300</v>
      </c>
      <c r="P482" s="189">
        <v>8666833.0800000001</v>
      </c>
      <c r="Q482" s="189">
        <v>0</v>
      </c>
      <c r="R482" s="189">
        <v>0</v>
      </c>
      <c r="S482" s="189">
        <f t="shared" si="71"/>
        <v>8666833.0800000001</v>
      </c>
      <c r="T482" s="189">
        <f t="shared" si="64"/>
        <v>1071.182820205416</v>
      </c>
      <c r="U482" s="189">
        <f>Y482</f>
        <v>1073.9576650310844</v>
      </c>
      <c r="V482" s="170">
        <f t="shared" si="68"/>
        <v>2.7748448256684242</v>
      </c>
      <c r="W482" s="170"/>
      <c r="X482" s="170"/>
      <c r="Y482" s="173">
        <f t="shared" si="69"/>
        <v>1073.9576650310844</v>
      </c>
      <c r="AA482" s="173">
        <f t="shared" si="65"/>
        <v>1664.04</v>
      </c>
      <c r="AC482" s="173" t="s">
        <v>582</v>
      </c>
      <c r="AD482" s="173">
        <v>722</v>
      </c>
      <c r="AH482" s="173" t="e">
        <f t="shared" si="66"/>
        <v>#N/A</v>
      </c>
      <c r="AS482" s="173" t="e">
        <f t="shared" si="67"/>
        <v>#N/A</v>
      </c>
    </row>
    <row r="483" spans="1:45" s="173" customFormat="1" ht="36" customHeight="1" x14ac:dyDescent="0.9">
      <c r="A483" s="173">
        <v>1</v>
      </c>
      <c r="B483" s="91">
        <f>SUBTOTAL(103,$A$16:A483)</f>
        <v>418</v>
      </c>
      <c r="C483" s="90" t="s">
        <v>1286</v>
      </c>
      <c r="D483" s="185">
        <v>1928</v>
      </c>
      <c r="E483" s="185"/>
      <c r="F483" s="191" t="s">
        <v>273</v>
      </c>
      <c r="G483" s="185">
        <v>3</v>
      </c>
      <c r="H483" s="185">
        <v>4</v>
      </c>
      <c r="I483" s="189">
        <v>1165.2</v>
      </c>
      <c r="J483" s="189">
        <v>998.7</v>
      </c>
      <c r="K483" s="189">
        <v>538.29999999999995</v>
      </c>
      <c r="L483" s="187">
        <v>72</v>
      </c>
      <c r="M483" s="185" t="s">
        <v>271</v>
      </c>
      <c r="N483" s="185" t="s">
        <v>275</v>
      </c>
      <c r="O483" s="188" t="s">
        <v>294</v>
      </c>
      <c r="P483" s="189">
        <v>4735077.3</v>
      </c>
      <c r="Q483" s="189">
        <v>0</v>
      </c>
      <c r="R483" s="189">
        <v>0</v>
      </c>
      <c r="S483" s="189">
        <f t="shared" si="71"/>
        <v>4735077.3</v>
      </c>
      <c r="T483" s="189">
        <f t="shared" si="64"/>
        <v>4063.7463954685886</v>
      </c>
      <c r="U483" s="189">
        <f>Y483</f>
        <v>4952.0159629248192</v>
      </c>
      <c r="V483" s="170">
        <f t="shared" si="68"/>
        <v>888.26956745623056</v>
      </c>
      <c r="W483" s="170"/>
      <c r="X483" s="170"/>
      <c r="Y483" s="173">
        <f t="shared" si="69"/>
        <v>4952.0159629248192</v>
      </c>
      <c r="AA483" s="173">
        <f t="shared" si="65"/>
        <v>1105</v>
      </c>
      <c r="AC483" s="173" t="s">
        <v>583</v>
      </c>
      <c r="AD483" s="173">
        <v>351</v>
      </c>
      <c r="AH483" s="173" t="e">
        <f t="shared" si="66"/>
        <v>#N/A</v>
      </c>
      <c r="AS483" s="173" t="e">
        <f t="shared" si="67"/>
        <v>#N/A</v>
      </c>
    </row>
    <row r="484" spans="1:45" s="173" customFormat="1" ht="36" customHeight="1" x14ac:dyDescent="0.9">
      <c r="A484" s="173">
        <v>1</v>
      </c>
      <c r="B484" s="91">
        <f>SUBTOTAL(103,$A$16:A484)</f>
        <v>419</v>
      </c>
      <c r="C484" s="90" t="s">
        <v>1287</v>
      </c>
      <c r="D484" s="185">
        <v>1962</v>
      </c>
      <c r="E484" s="185"/>
      <c r="F484" s="191" t="s">
        <v>273</v>
      </c>
      <c r="G484" s="185">
        <v>3</v>
      </c>
      <c r="H484" s="185">
        <v>3</v>
      </c>
      <c r="I484" s="189">
        <v>1520.41</v>
      </c>
      <c r="J484" s="189">
        <v>903.54</v>
      </c>
      <c r="K484" s="189">
        <v>226.5</v>
      </c>
      <c r="L484" s="187">
        <v>135</v>
      </c>
      <c r="M484" s="185" t="s">
        <v>271</v>
      </c>
      <c r="N484" s="185" t="s">
        <v>275</v>
      </c>
      <c r="O484" s="188" t="s">
        <v>1365</v>
      </c>
      <c r="P484" s="189">
        <v>3408422.6399999997</v>
      </c>
      <c r="Q484" s="189">
        <v>0</v>
      </c>
      <c r="R484" s="189">
        <v>0</v>
      </c>
      <c r="S484" s="189">
        <f t="shared" si="71"/>
        <v>3408422.6399999997</v>
      </c>
      <c r="T484" s="189">
        <f t="shared" si="64"/>
        <v>2241.7786255023311</v>
      </c>
      <c r="U484" s="189">
        <f>T484</f>
        <v>2241.7786255023311</v>
      </c>
      <c r="V484" s="170">
        <f t="shared" si="68"/>
        <v>0</v>
      </c>
      <c r="W484" s="170"/>
      <c r="X484" s="170"/>
      <c r="Y484" s="173">
        <f t="shared" si="69"/>
        <v>2869.2578804401442</v>
      </c>
      <c r="AA484" s="173">
        <f t="shared" si="65"/>
        <v>835.43</v>
      </c>
      <c r="AC484" s="173" t="s">
        <v>584</v>
      </c>
      <c r="AD484" s="173">
        <v>1200</v>
      </c>
      <c r="AH484" s="173" t="e">
        <f t="shared" si="66"/>
        <v>#N/A</v>
      </c>
      <c r="AS484" s="173" t="e">
        <f t="shared" si="67"/>
        <v>#N/A</v>
      </c>
    </row>
    <row r="485" spans="1:45" s="173" customFormat="1" ht="36" customHeight="1" x14ac:dyDescent="0.9">
      <c r="A485" s="173">
        <v>1</v>
      </c>
      <c r="B485" s="91">
        <f>SUBTOTAL(103,$A$16:A485)</f>
        <v>420</v>
      </c>
      <c r="C485" s="90" t="s">
        <v>1288</v>
      </c>
      <c r="D485" s="185">
        <v>1970</v>
      </c>
      <c r="E485" s="185"/>
      <c r="F485" s="191" t="s">
        <v>273</v>
      </c>
      <c r="G485" s="185">
        <v>5</v>
      </c>
      <c r="H485" s="185">
        <v>6</v>
      </c>
      <c r="I485" s="189">
        <v>7597.16</v>
      </c>
      <c r="J485" s="189">
        <v>4459.3599999999997</v>
      </c>
      <c r="K485" s="189">
        <v>4120.66</v>
      </c>
      <c r="L485" s="187">
        <v>224</v>
      </c>
      <c r="M485" s="185" t="s">
        <v>271</v>
      </c>
      <c r="N485" s="185" t="s">
        <v>275</v>
      </c>
      <c r="O485" s="188" t="s">
        <v>1366</v>
      </c>
      <c r="P485" s="189">
        <v>7031127.6799999997</v>
      </c>
      <c r="Q485" s="189">
        <v>0</v>
      </c>
      <c r="R485" s="189">
        <v>0</v>
      </c>
      <c r="S485" s="189">
        <f t="shared" si="71"/>
        <v>7031127.6799999997</v>
      </c>
      <c r="T485" s="189">
        <f t="shared" si="64"/>
        <v>925.49422152488557</v>
      </c>
      <c r="U485" s="189">
        <f>Y485</f>
        <v>963.23238157416722</v>
      </c>
      <c r="V485" s="170">
        <f t="shared" si="68"/>
        <v>37.738160049281646</v>
      </c>
      <c r="W485" s="170"/>
      <c r="X485" s="170"/>
      <c r="Y485" s="173">
        <f t="shared" si="69"/>
        <v>963.23238157416722</v>
      </c>
      <c r="AA485" s="173">
        <f t="shared" si="65"/>
        <v>1401.4</v>
      </c>
      <c r="AC485" s="173" t="s">
        <v>585</v>
      </c>
      <c r="AD485" s="173">
        <v>420</v>
      </c>
      <c r="AH485" s="173" t="e">
        <f t="shared" si="66"/>
        <v>#N/A</v>
      </c>
      <c r="AS485" s="173" t="e">
        <f t="shared" si="67"/>
        <v>#N/A</v>
      </c>
    </row>
    <row r="486" spans="1:45" s="173" customFormat="1" ht="36" customHeight="1" x14ac:dyDescent="0.9">
      <c r="A486" s="173">
        <v>1</v>
      </c>
      <c r="B486" s="91">
        <f>SUBTOTAL(103,$A$16:A486)</f>
        <v>421</v>
      </c>
      <c r="C486" s="90" t="s">
        <v>170</v>
      </c>
      <c r="D486" s="185">
        <v>1966</v>
      </c>
      <c r="E486" s="185"/>
      <c r="F486" s="191" t="s">
        <v>273</v>
      </c>
      <c r="G486" s="185">
        <v>4</v>
      </c>
      <c r="H486" s="185">
        <v>2</v>
      </c>
      <c r="I486" s="189">
        <v>1285.3</v>
      </c>
      <c r="J486" s="189">
        <v>836.8</v>
      </c>
      <c r="K486" s="189">
        <v>836.8</v>
      </c>
      <c r="L486" s="187">
        <v>76</v>
      </c>
      <c r="M486" s="185" t="s">
        <v>271</v>
      </c>
      <c r="N486" s="185" t="s">
        <v>297</v>
      </c>
      <c r="O486" s="188" t="s">
        <v>308</v>
      </c>
      <c r="P486" s="189">
        <v>598259.23</v>
      </c>
      <c r="Q486" s="189">
        <v>0</v>
      </c>
      <c r="R486" s="189">
        <v>0</v>
      </c>
      <c r="S486" s="189">
        <f t="shared" si="71"/>
        <v>598259.23</v>
      </c>
      <c r="T486" s="189">
        <f t="shared" si="64"/>
        <v>465.46271687543765</v>
      </c>
      <c r="U486" s="189">
        <v>1280.3575196452191</v>
      </c>
      <c r="V486" s="170">
        <f t="shared" si="68"/>
        <v>814.89480276978145</v>
      </c>
      <c r="W486" s="170"/>
      <c r="X486" s="170"/>
      <c r="Y486" s="173" t="e">
        <f t="shared" si="69"/>
        <v>#N/A</v>
      </c>
      <c r="AA486" s="173" t="e">
        <f t="shared" si="65"/>
        <v>#N/A</v>
      </c>
      <c r="AC486" s="173" t="s">
        <v>586</v>
      </c>
      <c r="AD486" s="173">
        <v>593</v>
      </c>
      <c r="AH486" s="173" t="e">
        <f t="shared" si="66"/>
        <v>#N/A</v>
      </c>
      <c r="AS486" s="173" t="e">
        <f t="shared" si="67"/>
        <v>#N/A</v>
      </c>
    </row>
    <row r="487" spans="1:45" s="173" customFormat="1" ht="36" customHeight="1" x14ac:dyDescent="0.9">
      <c r="A487" s="173">
        <v>1</v>
      </c>
      <c r="B487" s="91">
        <f>SUBTOTAL(103,$A$16:A487)</f>
        <v>422</v>
      </c>
      <c r="C487" s="90" t="s">
        <v>1310</v>
      </c>
      <c r="D487" s="185">
        <v>1983</v>
      </c>
      <c r="E487" s="185"/>
      <c r="F487" s="191" t="s">
        <v>273</v>
      </c>
      <c r="G487" s="185">
        <v>5</v>
      </c>
      <c r="H487" s="185">
        <v>6</v>
      </c>
      <c r="I487" s="189">
        <v>7249.68</v>
      </c>
      <c r="J487" s="189">
        <v>4545.2</v>
      </c>
      <c r="K487" s="189">
        <v>4035.5</v>
      </c>
      <c r="L487" s="187">
        <v>200</v>
      </c>
      <c r="M487" s="185" t="s">
        <v>271</v>
      </c>
      <c r="N487" s="185" t="s">
        <v>349</v>
      </c>
      <c r="O487" s="188" t="s">
        <v>1385</v>
      </c>
      <c r="P487" s="189">
        <v>4024777.95</v>
      </c>
      <c r="Q487" s="189">
        <v>0</v>
      </c>
      <c r="R487" s="189">
        <v>0</v>
      </c>
      <c r="S487" s="189">
        <f t="shared" si="71"/>
        <v>4024777.95</v>
      </c>
      <c r="T487" s="189">
        <f t="shared" si="64"/>
        <v>555.16629009832161</v>
      </c>
      <c r="U487" s="189">
        <v>2753.19</v>
      </c>
      <c r="V487" s="170">
        <f t="shared" si="68"/>
        <v>2198.0237099016786</v>
      </c>
      <c r="W487" s="170"/>
      <c r="X487" s="170"/>
      <c r="Y487" s="173" t="e">
        <f t="shared" si="69"/>
        <v>#N/A</v>
      </c>
      <c r="AA487" s="173" t="e">
        <f t="shared" si="65"/>
        <v>#N/A</v>
      </c>
      <c r="AC487" s="173" t="s">
        <v>1676</v>
      </c>
      <c r="AD487" s="173">
        <v>559</v>
      </c>
      <c r="AH487" s="173" t="e">
        <f t="shared" si="66"/>
        <v>#N/A</v>
      </c>
      <c r="AS487" s="173" t="e">
        <f t="shared" si="67"/>
        <v>#N/A</v>
      </c>
    </row>
    <row r="488" spans="1:45" s="173" customFormat="1" ht="36" customHeight="1" x14ac:dyDescent="0.9">
      <c r="B488" s="90" t="s">
        <v>1284</v>
      </c>
      <c r="C488" s="90"/>
      <c r="D488" s="185" t="s">
        <v>915</v>
      </c>
      <c r="E488" s="185" t="s">
        <v>915</v>
      </c>
      <c r="F488" s="185" t="s">
        <v>915</v>
      </c>
      <c r="G488" s="185" t="s">
        <v>915</v>
      </c>
      <c r="H488" s="185" t="s">
        <v>915</v>
      </c>
      <c r="I488" s="186">
        <f>SUM(I489:I489)</f>
        <v>720.74</v>
      </c>
      <c r="J488" s="186">
        <f>SUM(J489:J489)</f>
        <v>680.3</v>
      </c>
      <c r="K488" s="186">
        <f>SUM(K489:K489)</f>
        <v>515.4</v>
      </c>
      <c r="L488" s="187">
        <f>SUM(L489:L489)</f>
        <v>19</v>
      </c>
      <c r="M488" s="185" t="s">
        <v>915</v>
      </c>
      <c r="N488" s="185" t="s">
        <v>915</v>
      </c>
      <c r="O488" s="188" t="s">
        <v>915</v>
      </c>
      <c r="P488" s="189">
        <v>1499263.62</v>
      </c>
      <c r="Q488" s="189">
        <f>Q489</f>
        <v>0</v>
      </c>
      <c r="R488" s="189">
        <f>R489</f>
        <v>0</v>
      </c>
      <c r="S488" s="189">
        <f>S489</f>
        <v>1499263.62</v>
      </c>
      <c r="T488" s="189">
        <f t="shared" si="64"/>
        <v>2080.1726281321976</v>
      </c>
      <c r="U488" s="189">
        <f>U489</f>
        <v>3388.8014152121436</v>
      </c>
      <c r="V488" s="170">
        <f t="shared" si="68"/>
        <v>1308.6287870799461</v>
      </c>
      <c r="W488" s="170"/>
      <c r="X488" s="170"/>
      <c r="Y488" s="173" t="e">
        <f t="shared" si="69"/>
        <v>#N/A</v>
      </c>
      <c r="AA488" s="173" t="e">
        <f t="shared" si="65"/>
        <v>#N/A</v>
      </c>
      <c r="AC488" s="173" t="s">
        <v>587</v>
      </c>
      <c r="AD488" s="173">
        <v>794</v>
      </c>
      <c r="AH488" s="173" t="e">
        <f t="shared" si="66"/>
        <v>#N/A</v>
      </c>
      <c r="AS488" s="173" t="e">
        <f t="shared" si="67"/>
        <v>#N/A</v>
      </c>
    </row>
    <row r="489" spans="1:45" s="173" customFormat="1" ht="36" customHeight="1" x14ac:dyDescent="0.9">
      <c r="A489" s="173">
        <v>1</v>
      </c>
      <c r="B489" s="91">
        <f>SUBTOTAL(103,$A$16:A489)</f>
        <v>423</v>
      </c>
      <c r="C489" s="90" t="s">
        <v>1285</v>
      </c>
      <c r="D489" s="185">
        <v>1976</v>
      </c>
      <c r="E489" s="185"/>
      <c r="F489" s="191" t="s">
        <v>273</v>
      </c>
      <c r="G489" s="185">
        <v>2</v>
      </c>
      <c r="H489" s="185">
        <v>1</v>
      </c>
      <c r="I489" s="189">
        <v>720.74</v>
      </c>
      <c r="J489" s="189">
        <v>680.3</v>
      </c>
      <c r="K489" s="189">
        <v>515.4</v>
      </c>
      <c r="L489" s="187">
        <v>19</v>
      </c>
      <c r="M489" s="185" t="s">
        <v>271</v>
      </c>
      <c r="N489" s="185" t="s">
        <v>275</v>
      </c>
      <c r="O489" s="188" t="s">
        <v>294</v>
      </c>
      <c r="P489" s="189">
        <v>1499263.62</v>
      </c>
      <c r="Q489" s="189">
        <v>0</v>
      </c>
      <c r="R489" s="189">
        <v>0</v>
      </c>
      <c r="S489" s="189">
        <f>P489-Q489-R489</f>
        <v>1499263.62</v>
      </c>
      <c r="T489" s="189">
        <f t="shared" si="64"/>
        <v>2080.1726281321976</v>
      </c>
      <c r="U489" s="189">
        <f>Y489</f>
        <v>3388.8014152121436</v>
      </c>
      <c r="V489" s="170">
        <f t="shared" si="68"/>
        <v>1308.6287870799461</v>
      </c>
      <c r="W489" s="170"/>
      <c r="X489" s="170"/>
      <c r="Y489" s="173">
        <f t="shared" si="69"/>
        <v>3388.8014152121436</v>
      </c>
      <c r="AA489" s="173">
        <f t="shared" si="65"/>
        <v>467.74</v>
      </c>
      <c r="AC489" s="173" t="s">
        <v>1677</v>
      </c>
      <c r="AD489" s="173">
        <v>1338</v>
      </c>
      <c r="AH489" s="173" t="e">
        <f t="shared" si="66"/>
        <v>#N/A</v>
      </c>
      <c r="AS489" s="173" t="e">
        <f t="shared" si="67"/>
        <v>#N/A</v>
      </c>
    </row>
    <row r="490" spans="1:45" s="173" customFormat="1" ht="36" customHeight="1" x14ac:dyDescent="0.9">
      <c r="B490" s="90" t="s">
        <v>1075</v>
      </c>
      <c r="C490" s="90"/>
      <c r="D490" s="185" t="s">
        <v>915</v>
      </c>
      <c r="E490" s="185" t="s">
        <v>915</v>
      </c>
      <c r="F490" s="185" t="s">
        <v>915</v>
      </c>
      <c r="G490" s="185" t="s">
        <v>915</v>
      </c>
      <c r="H490" s="185" t="s">
        <v>915</v>
      </c>
      <c r="I490" s="186">
        <f>I491</f>
        <v>970.5</v>
      </c>
      <c r="J490" s="186">
        <f>J491</f>
        <v>874</v>
      </c>
      <c r="K490" s="186">
        <f>K491</f>
        <v>786.4</v>
      </c>
      <c r="L490" s="187">
        <f>L491</f>
        <v>38</v>
      </c>
      <c r="M490" s="185" t="s">
        <v>915</v>
      </c>
      <c r="N490" s="185" t="s">
        <v>915</v>
      </c>
      <c r="O490" s="188" t="s">
        <v>915</v>
      </c>
      <c r="P490" s="189">
        <v>474650.14999999997</v>
      </c>
      <c r="Q490" s="189">
        <f>Q491</f>
        <v>0</v>
      </c>
      <c r="R490" s="189">
        <f>R491</f>
        <v>0</v>
      </c>
      <c r="S490" s="189">
        <f>S491</f>
        <v>474650.14999999997</v>
      </c>
      <c r="T490" s="189">
        <f t="shared" si="64"/>
        <v>489.07794951056155</v>
      </c>
      <c r="U490" s="189">
        <f>U491</f>
        <v>845.09717620137292</v>
      </c>
      <c r="V490" s="170">
        <f t="shared" si="68"/>
        <v>356.01922669081137</v>
      </c>
      <c r="W490" s="170"/>
      <c r="X490" s="170"/>
      <c r="Y490" s="173" t="e">
        <f t="shared" si="69"/>
        <v>#N/A</v>
      </c>
      <c r="AA490" s="173" t="e">
        <f t="shared" si="65"/>
        <v>#N/A</v>
      </c>
      <c r="AC490" s="173" t="s">
        <v>588</v>
      </c>
      <c r="AD490" s="173">
        <v>760.2</v>
      </c>
      <c r="AH490" s="173" t="e">
        <f t="shared" si="66"/>
        <v>#N/A</v>
      </c>
      <c r="AS490" s="173" t="e">
        <f t="shared" si="67"/>
        <v>#N/A</v>
      </c>
    </row>
    <row r="491" spans="1:45" s="173" customFormat="1" ht="36" customHeight="1" x14ac:dyDescent="0.9">
      <c r="A491" s="173">
        <v>1</v>
      </c>
      <c r="B491" s="91">
        <f>SUBTOTAL(103,$A$16:A491)</f>
        <v>424</v>
      </c>
      <c r="C491" s="90" t="s">
        <v>1063</v>
      </c>
      <c r="D491" s="185">
        <v>1974</v>
      </c>
      <c r="E491" s="185"/>
      <c r="F491" s="191" t="s">
        <v>273</v>
      </c>
      <c r="G491" s="185">
        <v>2</v>
      </c>
      <c r="H491" s="185">
        <v>3</v>
      </c>
      <c r="I491" s="189">
        <v>970.5</v>
      </c>
      <c r="J491" s="189">
        <v>874</v>
      </c>
      <c r="K491" s="189">
        <f>J491-87.6</f>
        <v>786.4</v>
      </c>
      <c r="L491" s="187">
        <v>38</v>
      </c>
      <c r="M491" s="185" t="s">
        <v>271</v>
      </c>
      <c r="N491" s="185" t="s">
        <v>275</v>
      </c>
      <c r="O491" s="188" t="s">
        <v>300</v>
      </c>
      <c r="P491" s="189">
        <v>474650.14999999997</v>
      </c>
      <c r="Q491" s="189">
        <v>0</v>
      </c>
      <c r="R491" s="189">
        <v>0</v>
      </c>
      <c r="S491" s="189">
        <f>P491-Q491-R491</f>
        <v>474650.14999999997</v>
      </c>
      <c r="T491" s="189">
        <f t="shared" si="64"/>
        <v>489.07794951056155</v>
      </c>
      <c r="U491" s="189">
        <f>AG491</f>
        <v>845.09717620137292</v>
      </c>
      <c r="V491" s="170">
        <f t="shared" si="68"/>
        <v>356.01922669081137</v>
      </c>
      <c r="W491" s="170"/>
      <c r="X491" s="170"/>
      <c r="Y491" s="173" t="e">
        <f t="shared" si="69"/>
        <v>#N/A</v>
      </c>
      <c r="AA491" s="173" t="e">
        <f t="shared" si="65"/>
        <v>#N/A</v>
      </c>
      <c r="AC491" s="173" t="s">
        <v>589</v>
      </c>
      <c r="AD491" s="173">
        <v>1260.4000000000001</v>
      </c>
      <c r="AG491" s="173">
        <f>AH491*6191.24/J491</f>
        <v>845.09717620137292</v>
      </c>
      <c r="AH491" s="173">
        <f t="shared" si="66"/>
        <v>119.3</v>
      </c>
      <c r="AS491" s="173" t="e">
        <f t="shared" si="67"/>
        <v>#N/A</v>
      </c>
    </row>
    <row r="492" spans="1:45" s="173" customFormat="1" ht="36" customHeight="1" x14ac:dyDescent="0.9">
      <c r="B492" s="90" t="s">
        <v>879</v>
      </c>
      <c r="C492" s="192"/>
      <c r="D492" s="185" t="s">
        <v>915</v>
      </c>
      <c r="E492" s="185" t="s">
        <v>915</v>
      </c>
      <c r="F492" s="185" t="s">
        <v>915</v>
      </c>
      <c r="G492" s="185" t="s">
        <v>915</v>
      </c>
      <c r="H492" s="185" t="s">
        <v>915</v>
      </c>
      <c r="I492" s="186">
        <f>SUM(I493:I497)</f>
        <v>3040.6</v>
      </c>
      <c r="J492" s="186">
        <f>SUM(J493:J497)</f>
        <v>2684.3</v>
      </c>
      <c r="K492" s="186">
        <f>SUM(K493:K497)</f>
        <v>2684.3</v>
      </c>
      <c r="L492" s="187">
        <f>SUM(L493:L497)</f>
        <v>115</v>
      </c>
      <c r="M492" s="185" t="s">
        <v>915</v>
      </c>
      <c r="N492" s="185" t="s">
        <v>915</v>
      </c>
      <c r="O492" s="188" t="s">
        <v>915</v>
      </c>
      <c r="P492" s="189">
        <v>11363935.41</v>
      </c>
      <c r="Q492" s="189">
        <f>SUM(Q493:Q497)</f>
        <v>0</v>
      </c>
      <c r="R492" s="189">
        <f>SUM(R493:R497)</f>
        <v>0</v>
      </c>
      <c r="S492" s="189">
        <f>SUM(S493:S497)</f>
        <v>11363935.41</v>
      </c>
      <c r="T492" s="189">
        <f t="shared" si="64"/>
        <v>3737.399003486154</v>
      </c>
      <c r="U492" s="189">
        <f>MAX(U493:U497)</f>
        <v>29658.561655716163</v>
      </c>
      <c r="V492" s="170">
        <f t="shared" si="68"/>
        <v>25921.16265223001</v>
      </c>
      <c r="W492" s="170"/>
      <c r="X492" s="170"/>
      <c r="Y492" s="173" t="e">
        <f t="shared" si="69"/>
        <v>#N/A</v>
      </c>
      <c r="AA492" s="173" t="e">
        <f t="shared" si="65"/>
        <v>#N/A</v>
      </c>
      <c r="AC492" s="173" t="s">
        <v>590</v>
      </c>
      <c r="AD492" s="173">
        <v>1151</v>
      </c>
      <c r="AH492" s="173" t="e">
        <f t="shared" si="66"/>
        <v>#N/A</v>
      </c>
      <c r="AS492" s="173" t="e">
        <f t="shared" si="67"/>
        <v>#N/A</v>
      </c>
    </row>
    <row r="493" spans="1:45" s="173" customFormat="1" ht="36" customHeight="1" x14ac:dyDescent="0.9">
      <c r="A493" s="173">
        <v>1</v>
      </c>
      <c r="B493" s="91">
        <f>SUBTOTAL(103,$A$16:A493)</f>
        <v>425</v>
      </c>
      <c r="C493" s="90" t="s">
        <v>90</v>
      </c>
      <c r="D493" s="185">
        <v>1969</v>
      </c>
      <c r="E493" s="185"/>
      <c r="F493" s="191" t="s">
        <v>273</v>
      </c>
      <c r="G493" s="185">
        <v>2</v>
      </c>
      <c r="H493" s="185">
        <v>2</v>
      </c>
      <c r="I493" s="189">
        <v>773.4</v>
      </c>
      <c r="J493" s="189">
        <v>714.5</v>
      </c>
      <c r="K493" s="189">
        <v>714.5</v>
      </c>
      <c r="L493" s="187">
        <v>37</v>
      </c>
      <c r="M493" s="185" t="s">
        <v>271</v>
      </c>
      <c r="N493" s="185" t="s">
        <v>275</v>
      </c>
      <c r="O493" s="188" t="s">
        <v>286</v>
      </c>
      <c r="P493" s="189">
        <v>2441218.5699999998</v>
      </c>
      <c r="Q493" s="189">
        <v>0</v>
      </c>
      <c r="R493" s="189">
        <v>0</v>
      </c>
      <c r="S493" s="189">
        <f>P493-Q493-R493</f>
        <v>2441218.5699999998</v>
      </c>
      <c r="T493" s="189">
        <f t="shared" si="64"/>
        <v>3156.4760408585466</v>
      </c>
      <c r="U493" s="189">
        <f>T493</f>
        <v>3156.4760408585466</v>
      </c>
      <c r="V493" s="170">
        <f t="shared" si="68"/>
        <v>0</v>
      </c>
      <c r="W493" s="170"/>
      <c r="X493" s="170"/>
      <c r="Y493" s="173">
        <f t="shared" si="69"/>
        <v>2876.2435996896825</v>
      </c>
      <c r="AA493" s="173">
        <f t="shared" si="65"/>
        <v>426</v>
      </c>
      <c r="AC493" s="173" t="s">
        <v>591</v>
      </c>
      <c r="AD493" s="173">
        <v>464.7</v>
      </c>
      <c r="AH493" s="173" t="e">
        <f t="shared" si="66"/>
        <v>#N/A</v>
      </c>
      <c r="AS493" s="173" t="e">
        <f t="shared" si="67"/>
        <v>#N/A</v>
      </c>
    </row>
    <row r="494" spans="1:45" s="173" customFormat="1" ht="36" customHeight="1" x14ac:dyDescent="0.9">
      <c r="A494" s="173">
        <v>1</v>
      </c>
      <c r="B494" s="91">
        <f>SUBTOTAL(103,$A$16:A494)</f>
        <v>426</v>
      </c>
      <c r="C494" s="90" t="s">
        <v>91</v>
      </c>
      <c r="D494" s="185">
        <v>1960</v>
      </c>
      <c r="E494" s="185"/>
      <c r="F494" s="191" t="s">
        <v>273</v>
      </c>
      <c r="G494" s="185">
        <v>2</v>
      </c>
      <c r="H494" s="185">
        <v>1</v>
      </c>
      <c r="I494" s="189">
        <v>382.2</v>
      </c>
      <c r="J494" s="189">
        <v>358.4</v>
      </c>
      <c r="K494" s="189">
        <v>358.4</v>
      </c>
      <c r="L494" s="187">
        <v>19</v>
      </c>
      <c r="M494" s="185" t="s">
        <v>271</v>
      </c>
      <c r="N494" s="185" t="s">
        <v>275</v>
      </c>
      <c r="O494" s="188" t="s">
        <v>286</v>
      </c>
      <c r="P494" s="189">
        <v>2331487.1100000003</v>
      </c>
      <c r="Q494" s="189">
        <v>0</v>
      </c>
      <c r="R494" s="189">
        <v>0</v>
      </c>
      <c r="S494" s="189">
        <f>P494-Q494-R494</f>
        <v>2331487.1100000003</v>
      </c>
      <c r="T494" s="189">
        <f t="shared" si="64"/>
        <v>6100.1755886970186</v>
      </c>
      <c r="U494" s="189">
        <f>T494</f>
        <v>6100.1755886970186</v>
      </c>
      <c r="V494" s="170">
        <f t="shared" si="68"/>
        <v>0</v>
      </c>
      <c r="W494" s="170"/>
      <c r="X494" s="170"/>
      <c r="Y494" s="173" t="e">
        <f t="shared" si="69"/>
        <v>#N/A</v>
      </c>
      <c r="AA494" s="173" t="e">
        <f t="shared" si="65"/>
        <v>#N/A</v>
      </c>
      <c r="AC494" s="173" t="s">
        <v>592</v>
      </c>
      <c r="AD494" s="173">
        <v>464.68</v>
      </c>
      <c r="AG494" s="173">
        <f>AH494*6191.24/J494</f>
        <v>2454.7299218749999</v>
      </c>
      <c r="AH494" s="173">
        <f t="shared" si="66"/>
        <v>142.1</v>
      </c>
      <c r="AS494" s="173" t="e">
        <f t="shared" si="67"/>
        <v>#N/A</v>
      </c>
    </row>
    <row r="495" spans="1:45" s="173" customFormat="1" ht="36" customHeight="1" x14ac:dyDescent="0.9">
      <c r="A495" s="173">
        <v>1</v>
      </c>
      <c r="B495" s="91">
        <f>SUBTOTAL(103,$A$16:A495)</f>
        <v>427</v>
      </c>
      <c r="C495" s="90" t="s">
        <v>1291</v>
      </c>
      <c r="D495" s="185">
        <v>1965</v>
      </c>
      <c r="E495" s="185"/>
      <c r="F495" s="191" t="s">
        <v>338</v>
      </c>
      <c r="G495" s="185">
        <v>2</v>
      </c>
      <c r="H495" s="185">
        <v>1</v>
      </c>
      <c r="I495" s="189">
        <v>377</v>
      </c>
      <c r="J495" s="189">
        <v>334</v>
      </c>
      <c r="K495" s="189">
        <v>334</v>
      </c>
      <c r="L495" s="187">
        <v>23</v>
      </c>
      <c r="M495" s="185" t="s">
        <v>271</v>
      </c>
      <c r="N495" s="185" t="s">
        <v>275</v>
      </c>
      <c r="O495" s="188" t="s">
        <v>286</v>
      </c>
      <c r="P495" s="189">
        <v>1001541.0499999999</v>
      </c>
      <c r="Q495" s="189">
        <v>0</v>
      </c>
      <c r="R495" s="189">
        <v>0</v>
      </c>
      <c r="S495" s="189">
        <f>P495-Q495-R495</f>
        <v>1001541.0499999999</v>
      </c>
      <c r="T495" s="189">
        <f t="shared" si="64"/>
        <v>2656.6075596816972</v>
      </c>
      <c r="U495" s="189">
        <f>AG495</f>
        <v>8132.9537425149692</v>
      </c>
      <c r="V495" s="170">
        <f t="shared" si="68"/>
        <v>5476.346182833272</v>
      </c>
      <c r="W495" s="170"/>
      <c r="X495" s="170"/>
      <c r="Y495" s="173" t="e">
        <f t="shared" si="69"/>
        <v>#N/A</v>
      </c>
      <c r="AA495" s="173" t="e">
        <f t="shared" si="65"/>
        <v>#N/A</v>
      </c>
      <c r="AC495" s="173" t="s">
        <v>1678</v>
      </c>
      <c r="AD495" s="173">
        <v>828</v>
      </c>
      <c r="AG495" s="173">
        <f>AH495*6191.24/J495</f>
        <v>8132.9537425149692</v>
      </c>
      <c r="AH495" s="173">
        <f t="shared" si="66"/>
        <v>438.75</v>
      </c>
      <c r="AS495" s="173" t="e">
        <f t="shared" si="67"/>
        <v>#N/A</v>
      </c>
    </row>
    <row r="496" spans="1:45" s="173" customFormat="1" ht="36" customHeight="1" x14ac:dyDescent="0.9">
      <c r="A496" s="173">
        <v>1</v>
      </c>
      <c r="B496" s="91">
        <f>SUBTOTAL(103,$A$16:A496)</f>
        <v>428</v>
      </c>
      <c r="C496" s="90" t="s">
        <v>1292</v>
      </c>
      <c r="D496" s="185">
        <v>1917</v>
      </c>
      <c r="E496" s="185"/>
      <c r="F496" s="191" t="s">
        <v>273</v>
      </c>
      <c r="G496" s="185">
        <v>2</v>
      </c>
      <c r="H496" s="185">
        <v>1</v>
      </c>
      <c r="I496" s="189">
        <v>262.60000000000002</v>
      </c>
      <c r="J496" s="189">
        <v>152.19999999999999</v>
      </c>
      <c r="K496" s="189">
        <v>152.19999999999999</v>
      </c>
      <c r="L496" s="187">
        <v>10</v>
      </c>
      <c r="M496" s="185" t="s">
        <v>271</v>
      </c>
      <c r="N496" s="185" t="s">
        <v>272</v>
      </c>
      <c r="O496" s="188" t="s">
        <v>274</v>
      </c>
      <c r="P496" s="189">
        <v>2129113.37</v>
      </c>
      <c r="Q496" s="189">
        <v>0</v>
      </c>
      <c r="R496" s="189">
        <v>0</v>
      </c>
      <c r="S496" s="189">
        <f>P496-Q496-R496</f>
        <v>2129113.37</v>
      </c>
      <c r="T496" s="189">
        <f t="shared" si="64"/>
        <v>8107.8193830921555</v>
      </c>
      <c r="U496" s="189">
        <f>AG496</f>
        <v>29658.561655716163</v>
      </c>
      <c r="V496" s="170">
        <f t="shared" si="68"/>
        <v>21550.742272624007</v>
      </c>
      <c r="W496" s="170"/>
      <c r="X496" s="170"/>
      <c r="Y496" s="173" t="e">
        <f t="shared" si="69"/>
        <v>#N/A</v>
      </c>
      <c r="AA496" s="173" t="e">
        <f t="shared" si="65"/>
        <v>#N/A</v>
      </c>
      <c r="AC496" s="173" t="s">
        <v>593</v>
      </c>
      <c r="AD496" s="173">
        <v>917.7</v>
      </c>
      <c r="AG496" s="173">
        <f>AH496*6191.24/J496</f>
        <v>29658.561655716163</v>
      </c>
      <c r="AH496" s="173">
        <f t="shared" si="66"/>
        <v>729.1</v>
      </c>
      <c r="AS496" s="173" t="e">
        <f t="shared" si="67"/>
        <v>#N/A</v>
      </c>
    </row>
    <row r="497" spans="1:45" s="173" customFormat="1" ht="36" customHeight="1" x14ac:dyDescent="0.9">
      <c r="A497" s="173">
        <v>1</v>
      </c>
      <c r="B497" s="91">
        <f>SUBTOTAL(103,$A$16:A497)</f>
        <v>429</v>
      </c>
      <c r="C497" s="90" t="s">
        <v>1293</v>
      </c>
      <c r="D497" s="185">
        <v>1978</v>
      </c>
      <c r="E497" s="185"/>
      <c r="F497" s="191" t="s">
        <v>1371</v>
      </c>
      <c r="G497" s="185">
        <v>2</v>
      </c>
      <c r="H497" s="185">
        <v>4</v>
      </c>
      <c r="I497" s="189">
        <v>1245.4000000000001</v>
      </c>
      <c r="J497" s="189">
        <v>1125.2</v>
      </c>
      <c r="K497" s="189">
        <v>1125.2</v>
      </c>
      <c r="L497" s="187">
        <v>26</v>
      </c>
      <c r="M497" s="185" t="s">
        <v>271</v>
      </c>
      <c r="N497" s="185" t="s">
        <v>275</v>
      </c>
      <c r="O497" s="188" t="s">
        <v>1372</v>
      </c>
      <c r="P497" s="189">
        <v>3460575.3099999996</v>
      </c>
      <c r="Q497" s="189">
        <v>0</v>
      </c>
      <c r="R497" s="189">
        <v>0</v>
      </c>
      <c r="S497" s="189">
        <f>P497-Q497-R497</f>
        <v>3460575.3099999996</v>
      </c>
      <c r="T497" s="189">
        <f t="shared" si="64"/>
        <v>2778.6858117873771</v>
      </c>
      <c r="U497" s="189">
        <f>Y497</f>
        <v>3979.0334029227556</v>
      </c>
      <c r="V497" s="170">
        <f t="shared" si="68"/>
        <v>1200.3475911353785</v>
      </c>
      <c r="W497" s="170"/>
      <c r="X497" s="170"/>
      <c r="Y497" s="173">
        <f t="shared" si="69"/>
        <v>3979.0334029227556</v>
      </c>
      <c r="AA497" s="173">
        <f t="shared" si="65"/>
        <v>949</v>
      </c>
      <c r="AC497" s="173" t="s">
        <v>594</v>
      </c>
      <c r="AD497" s="173">
        <v>775</v>
      </c>
      <c r="AH497" s="173" t="e">
        <f t="shared" si="66"/>
        <v>#N/A</v>
      </c>
      <c r="AS497" s="173" t="e">
        <f t="shared" si="67"/>
        <v>#N/A</v>
      </c>
    </row>
    <row r="498" spans="1:45" s="173" customFormat="1" ht="36" customHeight="1" x14ac:dyDescent="0.9">
      <c r="B498" s="90" t="s">
        <v>906</v>
      </c>
      <c r="C498" s="90"/>
      <c r="D498" s="185" t="s">
        <v>915</v>
      </c>
      <c r="E498" s="185" t="s">
        <v>915</v>
      </c>
      <c r="F498" s="185" t="s">
        <v>915</v>
      </c>
      <c r="G498" s="185" t="s">
        <v>915</v>
      </c>
      <c r="H498" s="185" t="s">
        <v>915</v>
      </c>
      <c r="I498" s="186">
        <f>I499</f>
        <v>1191.0999999999999</v>
      </c>
      <c r="J498" s="186">
        <f>J499</f>
        <v>714.7</v>
      </c>
      <c r="K498" s="186">
        <f>K499</f>
        <v>714.7</v>
      </c>
      <c r="L498" s="187">
        <f>L499</f>
        <v>31</v>
      </c>
      <c r="M498" s="185" t="s">
        <v>915</v>
      </c>
      <c r="N498" s="185" t="s">
        <v>915</v>
      </c>
      <c r="O498" s="188" t="s">
        <v>915</v>
      </c>
      <c r="P498" s="189">
        <v>2887801.05</v>
      </c>
      <c r="Q498" s="189">
        <f>Q499</f>
        <v>0</v>
      </c>
      <c r="R498" s="189">
        <f>R499</f>
        <v>0</v>
      </c>
      <c r="S498" s="189">
        <f>S499</f>
        <v>2887801.05</v>
      </c>
      <c r="T498" s="189">
        <f t="shared" si="64"/>
        <v>2424.482453194526</v>
      </c>
      <c r="U498" s="189">
        <f>U499</f>
        <v>2688.2778608009407</v>
      </c>
      <c r="V498" s="170">
        <f t="shared" si="68"/>
        <v>263.79540760641476</v>
      </c>
      <c r="W498" s="170"/>
      <c r="X498" s="170"/>
      <c r="Y498" s="173" t="e">
        <f t="shared" si="69"/>
        <v>#N/A</v>
      </c>
      <c r="AA498" s="173" t="e">
        <f t="shared" si="65"/>
        <v>#N/A</v>
      </c>
      <c r="AC498" s="173" t="s">
        <v>595</v>
      </c>
      <c r="AD498" s="173">
        <v>557</v>
      </c>
      <c r="AH498" s="173" t="e">
        <f t="shared" si="66"/>
        <v>#N/A</v>
      </c>
      <c r="AS498" s="173" t="e">
        <f t="shared" si="67"/>
        <v>#N/A</v>
      </c>
    </row>
    <row r="499" spans="1:45" s="173" customFormat="1" ht="36" customHeight="1" x14ac:dyDescent="0.9">
      <c r="A499" s="173">
        <v>1</v>
      </c>
      <c r="B499" s="91">
        <f>SUBTOTAL(103,$A$16:A499)</f>
        <v>430</v>
      </c>
      <c r="C499" s="90" t="s">
        <v>92</v>
      </c>
      <c r="D499" s="185">
        <v>1967</v>
      </c>
      <c r="E499" s="185"/>
      <c r="F499" s="191" t="s">
        <v>273</v>
      </c>
      <c r="G499" s="185">
        <v>2</v>
      </c>
      <c r="H499" s="185">
        <v>2</v>
      </c>
      <c r="I499" s="189">
        <v>1191.0999999999999</v>
      </c>
      <c r="J499" s="189">
        <v>714.7</v>
      </c>
      <c r="K499" s="189">
        <v>714.7</v>
      </c>
      <c r="L499" s="187">
        <v>31</v>
      </c>
      <c r="M499" s="185" t="s">
        <v>271</v>
      </c>
      <c r="N499" s="185" t="s">
        <v>275</v>
      </c>
      <c r="O499" s="188" t="s">
        <v>287</v>
      </c>
      <c r="P499" s="189">
        <v>2887801.05</v>
      </c>
      <c r="Q499" s="189">
        <v>0</v>
      </c>
      <c r="R499" s="189">
        <v>0</v>
      </c>
      <c r="S499" s="189">
        <f>P499-Q499-R499</f>
        <v>2887801.05</v>
      </c>
      <c r="T499" s="189">
        <f t="shared" si="64"/>
        <v>2424.482453194526</v>
      </c>
      <c r="U499" s="189">
        <f>Y499</f>
        <v>2688.2778608009407</v>
      </c>
      <c r="V499" s="170">
        <f t="shared" si="68"/>
        <v>263.79540760641476</v>
      </c>
      <c r="W499" s="170"/>
      <c r="X499" s="170"/>
      <c r="Y499" s="173">
        <f t="shared" si="69"/>
        <v>2688.2778608009407</v>
      </c>
      <c r="AA499" s="173">
        <f t="shared" si="65"/>
        <v>613.20000000000005</v>
      </c>
      <c r="AC499" s="173" t="s">
        <v>596</v>
      </c>
      <c r="AD499" s="173">
        <v>226</v>
      </c>
      <c r="AH499" s="173" t="e">
        <f t="shared" si="66"/>
        <v>#N/A</v>
      </c>
      <c r="AS499" s="173" t="e">
        <f t="shared" si="67"/>
        <v>#N/A</v>
      </c>
    </row>
    <row r="500" spans="1:45" s="173" customFormat="1" ht="36" customHeight="1" x14ac:dyDescent="0.9">
      <c r="B500" s="90" t="s">
        <v>880</v>
      </c>
      <c r="C500" s="90"/>
      <c r="D500" s="185" t="s">
        <v>915</v>
      </c>
      <c r="E500" s="185" t="s">
        <v>915</v>
      </c>
      <c r="F500" s="185" t="s">
        <v>915</v>
      </c>
      <c r="G500" s="185" t="s">
        <v>915</v>
      </c>
      <c r="H500" s="185" t="s">
        <v>915</v>
      </c>
      <c r="I500" s="186">
        <f>I501</f>
        <v>706</v>
      </c>
      <c r="J500" s="186">
        <f>J501</f>
        <v>627.1</v>
      </c>
      <c r="K500" s="186">
        <f>K501</f>
        <v>627.1</v>
      </c>
      <c r="L500" s="187">
        <f>L501</f>
        <v>41</v>
      </c>
      <c r="M500" s="185" t="s">
        <v>915</v>
      </c>
      <c r="N500" s="185" t="s">
        <v>915</v>
      </c>
      <c r="O500" s="188" t="s">
        <v>915</v>
      </c>
      <c r="P500" s="189">
        <v>2743113.54</v>
      </c>
      <c r="Q500" s="189">
        <f>Q501</f>
        <v>0</v>
      </c>
      <c r="R500" s="189">
        <f>R501</f>
        <v>0</v>
      </c>
      <c r="S500" s="189">
        <f>S501</f>
        <v>2743113.54</v>
      </c>
      <c r="T500" s="189">
        <f t="shared" si="64"/>
        <v>3885.4299433427764</v>
      </c>
      <c r="U500" s="189">
        <f>U501</f>
        <v>4437.7903682719543</v>
      </c>
      <c r="V500" s="170">
        <f t="shared" si="68"/>
        <v>552.36042492917795</v>
      </c>
      <c r="W500" s="170"/>
      <c r="X500" s="170"/>
      <c r="Y500" s="173" t="e">
        <f t="shared" si="69"/>
        <v>#N/A</v>
      </c>
      <c r="AA500" s="173" t="e">
        <f t="shared" si="65"/>
        <v>#N/A</v>
      </c>
      <c r="AC500" s="173" t="s">
        <v>597</v>
      </c>
      <c r="AD500" s="173">
        <v>632</v>
      </c>
      <c r="AH500" s="173" t="e">
        <f t="shared" si="66"/>
        <v>#N/A</v>
      </c>
      <c r="AS500" s="173" t="e">
        <f t="shared" si="67"/>
        <v>#N/A</v>
      </c>
    </row>
    <row r="501" spans="1:45" s="173" customFormat="1" ht="36" customHeight="1" x14ac:dyDescent="0.9">
      <c r="A501" s="173">
        <v>1</v>
      </c>
      <c r="B501" s="91">
        <f>SUBTOTAL(103,$A$16:A501)</f>
        <v>431</v>
      </c>
      <c r="C501" s="90" t="s">
        <v>93</v>
      </c>
      <c r="D501" s="185">
        <v>1979</v>
      </c>
      <c r="E501" s="185"/>
      <c r="F501" s="191" t="s">
        <v>273</v>
      </c>
      <c r="G501" s="185">
        <v>2</v>
      </c>
      <c r="H501" s="185">
        <v>2</v>
      </c>
      <c r="I501" s="189">
        <v>706</v>
      </c>
      <c r="J501" s="189">
        <v>627.1</v>
      </c>
      <c r="K501" s="189">
        <v>627.1</v>
      </c>
      <c r="L501" s="187">
        <v>41</v>
      </c>
      <c r="M501" s="185" t="s">
        <v>271</v>
      </c>
      <c r="N501" s="185" t="s">
        <v>275</v>
      </c>
      <c r="O501" s="188" t="s">
        <v>1020</v>
      </c>
      <c r="P501" s="189">
        <v>2743113.54</v>
      </c>
      <c r="Q501" s="189">
        <v>0</v>
      </c>
      <c r="R501" s="189">
        <v>0</v>
      </c>
      <c r="S501" s="189">
        <f>P501-Q501-R501</f>
        <v>2743113.54</v>
      </c>
      <c r="T501" s="189">
        <f t="shared" si="64"/>
        <v>3885.4299433427764</v>
      </c>
      <c r="U501" s="189">
        <f>Y501</f>
        <v>4437.7903682719543</v>
      </c>
      <c r="V501" s="170">
        <f t="shared" si="68"/>
        <v>552.36042492917795</v>
      </c>
      <c r="W501" s="170"/>
      <c r="X501" s="170"/>
      <c r="Y501" s="173">
        <f t="shared" si="69"/>
        <v>4437.7903682719543</v>
      </c>
      <c r="AA501" s="173">
        <f t="shared" si="65"/>
        <v>600</v>
      </c>
      <c r="AC501" s="173" t="s">
        <v>598</v>
      </c>
      <c r="AD501" s="173">
        <v>632</v>
      </c>
      <c r="AH501" s="173" t="e">
        <f t="shared" si="66"/>
        <v>#N/A</v>
      </c>
      <c r="AS501" s="173" t="e">
        <f t="shared" si="67"/>
        <v>#N/A</v>
      </c>
    </row>
    <row r="502" spans="1:45" s="173" customFormat="1" ht="36" customHeight="1" x14ac:dyDescent="0.9">
      <c r="B502" s="90" t="s">
        <v>881</v>
      </c>
      <c r="C502" s="90"/>
      <c r="D502" s="185" t="s">
        <v>915</v>
      </c>
      <c r="E502" s="185" t="s">
        <v>915</v>
      </c>
      <c r="F502" s="185" t="s">
        <v>915</v>
      </c>
      <c r="G502" s="185" t="s">
        <v>915</v>
      </c>
      <c r="H502" s="185" t="s">
        <v>915</v>
      </c>
      <c r="I502" s="186">
        <f>I503+I504</f>
        <v>2609.1000000000004</v>
      </c>
      <c r="J502" s="186">
        <f>J503+J504</f>
        <v>2286.5</v>
      </c>
      <c r="K502" s="186">
        <f>K503+K504</f>
        <v>2286.5</v>
      </c>
      <c r="L502" s="187">
        <f>L503+L504</f>
        <v>98</v>
      </c>
      <c r="M502" s="185" t="s">
        <v>915</v>
      </c>
      <c r="N502" s="185" t="s">
        <v>915</v>
      </c>
      <c r="O502" s="188" t="s">
        <v>915</v>
      </c>
      <c r="P502" s="186">
        <v>5746431.5800000001</v>
      </c>
      <c r="Q502" s="186">
        <f>Q503+Q504</f>
        <v>0</v>
      </c>
      <c r="R502" s="186">
        <f>R503+R504</f>
        <v>0</v>
      </c>
      <c r="S502" s="186">
        <f>S503+S504</f>
        <v>5746431.5800000001</v>
      </c>
      <c r="T502" s="189">
        <f t="shared" si="64"/>
        <v>2202.4573914376601</v>
      </c>
      <c r="U502" s="189">
        <f>MAX(U503:U504)</f>
        <v>2977.707742965476</v>
      </c>
      <c r="V502" s="170">
        <f t="shared" si="68"/>
        <v>775.25035152781584</v>
      </c>
      <c r="W502" s="170"/>
      <c r="X502" s="170"/>
      <c r="Y502" s="173" t="e">
        <f t="shared" si="69"/>
        <v>#N/A</v>
      </c>
      <c r="AA502" s="173" t="e">
        <f t="shared" si="65"/>
        <v>#N/A</v>
      </c>
      <c r="AC502" s="173" t="s">
        <v>599</v>
      </c>
      <c r="AD502" s="173">
        <v>720</v>
      </c>
      <c r="AH502" s="173" t="e">
        <f t="shared" si="66"/>
        <v>#N/A</v>
      </c>
      <c r="AS502" s="173" t="e">
        <f t="shared" si="67"/>
        <v>#N/A</v>
      </c>
    </row>
    <row r="503" spans="1:45" s="173" customFormat="1" ht="36" customHeight="1" x14ac:dyDescent="0.9">
      <c r="A503" s="173">
        <v>1</v>
      </c>
      <c r="B503" s="91">
        <f>SUBTOTAL(103,$A$16:A503)</f>
        <v>432</v>
      </c>
      <c r="C503" s="90" t="s">
        <v>94</v>
      </c>
      <c r="D503" s="185">
        <v>1980</v>
      </c>
      <c r="E503" s="185"/>
      <c r="F503" s="191" t="s">
        <v>273</v>
      </c>
      <c r="G503" s="185">
        <v>2</v>
      </c>
      <c r="H503" s="185">
        <v>3</v>
      </c>
      <c r="I503" s="189">
        <v>2004.4</v>
      </c>
      <c r="J503" s="189">
        <v>1886.5</v>
      </c>
      <c r="K503" s="189">
        <v>1886.5</v>
      </c>
      <c r="L503" s="187">
        <v>67</v>
      </c>
      <c r="M503" s="185" t="s">
        <v>271</v>
      </c>
      <c r="N503" s="185" t="s">
        <v>275</v>
      </c>
      <c r="O503" s="188" t="s">
        <v>286</v>
      </c>
      <c r="P503" s="189">
        <v>4871101.63</v>
      </c>
      <c r="Q503" s="189">
        <v>0</v>
      </c>
      <c r="R503" s="189">
        <v>0</v>
      </c>
      <c r="S503" s="189">
        <f>P503-Q503-R503</f>
        <v>4871101.63</v>
      </c>
      <c r="T503" s="189">
        <f t="shared" si="64"/>
        <v>2430.2043653961282</v>
      </c>
      <c r="U503" s="189">
        <f>Y503</f>
        <v>2977.707742965476</v>
      </c>
      <c r="V503" s="170">
        <f t="shared" si="68"/>
        <v>547.50337756934778</v>
      </c>
      <c r="W503" s="170"/>
      <c r="X503" s="170"/>
      <c r="Y503" s="173">
        <f t="shared" si="69"/>
        <v>2977.707742965476</v>
      </c>
      <c r="AA503" s="173">
        <f t="shared" si="65"/>
        <v>1143</v>
      </c>
      <c r="AC503" s="173" t="s">
        <v>600</v>
      </c>
      <c r="AD503" s="173">
        <v>971</v>
      </c>
      <c r="AH503" s="173" t="e">
        <f t="shared" si="66"/>
        <v>#N/A</v>
      </c>
      <c r="AS503" s="173" t="e">
        <f t="shared" si="67"/>
        <v>#N/A</v>
      </c>
    </row>
    <row r="504" spans="1:45" s="173" customFormat="1" ht="36" customHeight="1" x14ac:dyDescent="0.9">
      <c r="A504" s="173">
        <v>1</v>
      </c>
      <c r="B504" s="91">
        <f>SUBTOTAL(103,$A$16:A504)</f>
        <v>433</v>
      </c>
      <c r="C504" s="90" t="s">
        <v>1656</v>
      </c>
      <c r="D504" s="185">
        <v>1974</v>
      </c>
      <c r="E504" s="185"/>
      <c r="F504" s="191" t="s">
        <v>1371</v>
      </c>
      <c r="G504" s="185">
        <v>2</v>
      </c>
      <c r="H504" s="185">
        <v>3</v>
      </c>
      <c r="I504" s="186">
        <v>604.70000000000005</v>
      </c>
      <c r="J504" s="186">
        <v>400</v>
      </c>
      <c r="K504" s="186">
        <f>J504</f>
        <v>400</v>
      </c>
      <c r="L504" s="187">
        <v>31</v>
      </c>
      <c r="M504" s="185" t="s">
        <v>271</v>
      </c>
      <c r="N504" s="185" t="s">
        <v>272</v>
      </c>
      <c r="O504" s="188" t="s">
        <v>274</v>
      </c>
      <c r="P504" s="189">
        <v>875329.95000000007</v>
      </c>
      <c r="Q504" s="189">
        <v>0</v>
      </c>
      <c r="R504" s="189">
        <v>0</v>
      </c>
      <c r="S504" s="189">
        <f>P504-Q504-R504</f>
        <v>875329.95000000007</v>
      </c>
      <c r="T504" s="189">
        <f t="shared" si="64"/>
        <v>1447.5441541260129</v>
      </c>
      <c r="U504" s="189">
        <f>T504</f>
        <v>1447.5441541260129</v>
      </c>
      <c r="V504" s="170">
        <f t="shared" si="68"/>
        <v>0</v>
      </c>
      <c r="W504" s="170"/>
      <c r="X504" s="170"/>
      <c r="Y504" s="173" t="e">
        <f t="shared" si="69"/>
        <v>#N/A</v>
      </c>
      <c r="AA504" s="173" t="e">
        <f t="shared" si="65"/>
        <v>#N/A</v>
      </c>
      <c r="AC504" s="173" t="s">
        <v>602</v>
      </c>
      <c r="AD504" s="173">
        <v>844</v>
      </c>
      <c r="AH504" s="173" t="e">
        <f t="shared" si="66"/>
        <v>#N/A</v>
      </c>
      <c r="AS504" s="173" t="e">
        <f t="shared" si="67"/>
        <v>#N/A</v>
      </c>
    </row>
    <row r="505" spans="1:45" s="173" customFormat="1" ht="36" customHeight="1" x14ac:dyDescent="0.9">
      <c r="B505" s="90" t="s">
        <v>882</v>
      </c>
      <c r="C505" s="90"/>
      <c r="D505" s="185" t="s">
        <v>915</v>
      </c>
      <c r="E505" s="185" t="s">
        <v>915</v>
      </c>
      <c r="F505" s="185" t="s">
        <v>915</v>
      </c>
      <c r="G505" s="185" t="s">
        <v>915</v>
      </c>
      <c r="H505" s="185" t="s">
        <v>915</v>
      </c>
      <c r="I505" s="186">
        <f>I506</f>
        <v>702.7</v>
      </c>
      <c r="J505" s="186">
        <f>J506</f>
        <v>643.20000000000005</v>
      </c>
      <c r="K505" s="186">
        <f>K506</f>
        <v>643.20000000000005</v>
      </c>
      <c r="L505" s="187">
        <f>L506</f>
        <v>34</v>
      </c>
      <c r="M505" s="185" t="s">
        <v>915</v>
      </c>
      <c r="N505" s="185" t="s">
        <v>915</v>
      </c>
      <c r="O505" s="188" t="s">
        <v>915</v>
      </c>
      <c r="P505" s="189">
        <v>2598169.9500000002</v>
      </c>
      <c r="Q505" s="189">
        <f>Q506</f>
        <v>0</v>
      </c>
      <c r="R505" s="189">
        <f>R506</f>
        <v>0</v>
      </c>
      <c r="S505" s="189">
        <f>S506</f>
        <v>2598169.9500000002</v>
      </c>
      <c r="T505" s="189">
        <f t="shared" si="64"/>
        <v>3697.4099188843034</v>
      </c>
      <c r="U505" s="189">
        <f>T505</f>
        <v>3697.4099188843034</v>
      </c>
      <c r="V505" s="170">
        <f t="shared" si="68"/>
        <v>0</v>
      </c>
      <c r="W505" s="170"/>
      <c r="X505" s="170"/>
      <c r="Y505" s="173" t="e">
        <f t="shared" si="69"/>
        <v>#N/A</v>
      </c>
      <c r="AA505" s="173" t="e">
        <f t="shared" si="65"/>
        <v>#N/A</v>
      </c>
      <c r="AC505" s="173" t="s">
        <v>1679</v>
      </c>
      <c r="AD505" s="173">
        <v>960</v>
      </c>
      <c r="AH505" s="173" t="e">
        <f t="shared" si="66"/>
        <v>#N/A</v>
      </c>
      <c r="AS505" s="173" t="e">
        <f t="shared" si="67"/>
        <v>#N/A</v>
      </c>
    </row>
    <row r="506" spans="1:45" s="173" customFormat="1" ht="36" customHeight="1" x14ac:dyDescent="0.9">
      <c r="A506" s="173">
        <v>1</v>
      </c>
      <c r="B506" s="91">
        <f>SUBTOTAL(103,$A$16:A506)</f>
        <v>434</v>
      </c>
      <c r="C506" s="90" t="s">
        <v>95</v>
      </c>
      <c r="D506" s="185">
        <v>1969</v>
      </c>
      <c r="E506" s="185"/>
      <c r="F506" s="191" t="s">
        <v>273</v>
      </c>
      <c r="G506" s="185">
        <v>2</v>
      </c>
      <c r="H506" s="185">
        <v>2</v>
      </c>
      <c r="I506" s="189">
        <v>702.7</v>
      </c>
      <c r="J506" s="189">
        <v>643.20000000000005</v>
      </c>
      <c r="K506" s="189">
        <v>643.20000000000005</v>
      </c>
      <c r="L506" s="187">
        <v>34</v>
      </c>
      <c r="M506" s="185" t="s">
        <v>271</v>
      </c>
      <c r="N506" s="185" t="s">
        <v>275</v>
      </c>
      <c r="O506" s="188" t="s">
        <v>288</v>
      </c>
      <c r="P506" s="189">
        <v>2598169.9500000002</v>
      </c>
      <c r="Q506" s="189">
        <v>0</v>
      </c>
      <c r="R506" s="189">
        <v>0</v>
      </c>
      <c r="S506" s="189">
        <f>P506-Q506-R506</f>
        <v>2598169.9500000002</v>
      </c>
      <c r="T506" s="189">
        <f t="shared" si="64"/>
        <v>3697.4099188843034</v>
      </c>
      <c r="U506" s="189">
        <f>T506</f>
        <v>3697.4099188843034</v>
      </c>
      <c r="V506" s="170">
        <f t="shared" si="68"/>
        <v>0</v>
      </c>
      <c r="W506" s="170"/>
      <c r="X506" s="170"/>
      <c r="Y506" s="173">
        <f t="shared" si="69"/>
        <v>4458.6309947345944</v>
      </c>
      <c r="AA506" s="173">
        <f t="shared" si="65"/>
        <v>600</v>
      </c>
      <c r="AC506" s="173" t="s">
        <v>1680</v>
      </c>
      <c r="AD506" s="173">
        <v>1075</v>
      </c>
      <c r="AH506" s="173" t="e">
        <f t="shared" si="66"/>
        <v>#N/A</v>
      </c>
      <c r="AS506" s="173" t="e">
        <f t="shared" si="67"/>
        <v>#N/A</v>
      </c>
    </row>
    <row r="507" spans="1:45" s="173" customFormat="1" ht="36" customHeight="1" x14ac:dyDescent="0.9">
      <c r="B507" s="90" t="s">
        <v>1294</v>
      </c>
      <c r="C507" s="90"/>
      <c r="D507" s="185" t="s">
        <v>915</v>
      </c>
      <c r="E507" s="185" t="s">
        <v>915</v>
      </c>
      <c r="F507" s="185" t="s">
        <v>915</v>
      </c>
      <c r="G507" s="185" t="s">
        <v>915</v>
      </c>
      <c r="H507" s="185" t="s">
        <v>915</v>
      </c>
      <c r="I507" s="186">
        <f>I508</f>
        <v>853.8</v>
      </c>
      <c r="J507" s="186">
        <f>J508</f>
        <v>679.5</v>
      </c>
      <c r="K507" s="186">
        <f>K508</f>
        <v>679.5</v>
      </c>
      <c r="L507" s="187">
        <f>L508</f>
        <v>38</v>
      </c>
      <c r="M507" s="185" t="s">
        <v>915</v>
      </c>
      <c r="N507" s="185" t="s">
        <v>915</v>
      </c>
      <c r="O507" s="188" t="s">
        <v>915</v>
      </c>
      <c r="P507" s="189">
        <v>2309984.35</v>
      </c>
      <c r="Q507" s="189">
        <f>Q508</f>
        <v>0</v>
      </c>
      <c r="R507" s="189">
        <f>R508</f>
        <v>0</v>
      </c>
      <c r="S507" s="189">
        <f>S508</f>
        <v>2309984.35</v>
      </c>
      <c r="T507" s="189">
        <f t="shared" si="64"/>
        <v>2705.5333216209888</v>
      </c>
      <c r="U507" s="189">
        <f>U508</f>
        <v>3602.6400000000003</v>
      </c>
      <c r="V507" s="170">
        <f t="shared" si="68"/>
        <v>897.10667837901156</v>
      </c>
      <c r="W507" s="170"/>
      <c r="X507" s="170"/>
      <c r="Y507" s="173" t="e">
        <f t="shared" si="69"/>
        <v>#N/A</v>
      </c>
      <c r="AA507" s="173" t="e">
        <f t="shared" si="65"/>
        <v>#N/A</v>
      </c>
      <c r="AC507" s="173" t="s">
        <v>603</v>
      </c>
      <c r="AD507" s="173">
        <v>832</v>
      </c>
      <c r="AH507" s="173" t="e">
        <f t="shared" si="66"/>
        <v>#N/A</v>
      </c>
      <c r="AS507" s="173" t="e">
        <f t="shared" si="67"/>
        <v>#N/A</v>
      </c>
    </row>
    <row r="508" spans="1:45" s="173" customFormat="1" ht="36" customHeight="1" x14ac:dyDescent="0.9">
      <c r="A508" s="173">
        <v>1</v>
      </c>
      <c r="B508" s="91">
        <f>SUBTOTAL(103,$A$16:A508)</f>
        <v>435</v>
      </c>
      <c r="C508" s="90" t="s">
        <v>1295</v>
      </c>
      <c r="D508" s="185">
        <v>1981</v>
      </c>
      <c r="E508" s="185"/>
      <c r="F508" s="191" t="s">
        <v>344</v>
      </c>
      <c r="G508" s="185">
        <v>2</v>
      </c>
      <c r="H508" s="185">
        <v>3</v>
      </c>
      <c r="I508" s="189">
        <v>853.8</v>
      </c>
      <c r="J508" s="189">
        <v>679.5</v>
      </c>
      <c r="K508" s="189">
        <v>679.5</v>
      </c>
      <c r="L508" s="187">
        <v>38</v>
      </c>
      <c r="M508" s="185" t="s">
        <v>271</v>
      </c>
      <c r="N508" s="185" t="s">
        <v>275</v>
      </c>
      <c r="O508" s="188" t="s">
        <v>1326</v>
      </c>
      <c r="P508" s="189">
        <v>2309984.35</v>
      </c>
      <c r="Q508" s="189">
        <v>0</v>
      </c>
      <c r="R508" s="189">
        <v>0</v>
      </c>
      <c r="S508" s="189">
        <f>P508-Q508-R508</f>
        <v>2309984.35</v>
      </c>
      <c r="T508" s="189">
        <f t="shared" si="64"/>
        <v>2705.5333216209888</v>
      </c>
      <c r="U508" s="189">
        <v>3602.6400000000003</v>
      </c>
      <c r="V508" s="170">
        <f t="shared" si="68"/>
        <v>897.10667837901156</v>
      </c>
      <c r="W508" s="170"/>
      <c r="X508" s="170"/>
      <c r="Y508" s="173" t="e">
        <f t="shared" si="69"/>
        <v>#N/A</v>
      </c>
      <c r="AA508" s="173" t="e">
        <f t="shared" si="65"/>
        <v>#N/A</v>
      </c>
      <c r="AC508" s="173" t="s">
        <v>604</v>
      </c>
      <c r="AD508" s="173">
        <v>621.5</v>
      </c>
      <c r="AH508" s="173" t="e">
        <f t="shared" si="66"/>
        <v>#N/A</v>
      </c>
      <c r="AS508" s="173" t="e">
        <f t="shared" si="67"/>
        <v>#N/A</v>
      </c>
    </row>
    <row r="509" spans="1:45" s="173" customFormat="1" ht="36" customHeight="1" x14ac:dyDescent="0.9">
      <c r="B509" s="90" t="s">
        <v>883</v>
      </c>
      <c r="C509" s="192"/>
      <c r="D509" s="185" t="s">
        <v>915</v>
      </c>
      <c r="E509" s="185" t="s">
        <v>915</v>
      </c>
      <c r="F509" s="185" t="s">
        <v>915</v>
      </c>
      <c r="G509" s="185" t="s">
        <v>915</v>
      </c>
      <c r="H509" s="185" t="s">
        <v>915</v>
      </c>
      <c r="I509" s="186">
        <f>SUM(I510:I515)</f>
        <v>3456.2</v>
      </c>
      <c r="J509" s="186">
        <f>SUM(J510:J515)</f>
        <v>2841.4</v>
      </c>
      <c r="K509" s="186">
        <f>SUM(K510:K515)</f>
        <v>2822.6</v>
      </c>
      <c r="L509" s="187">
        <f>SUM(L510:L515)</f>
        <v>132</v>
      </c>
      <c r="M509" s="185" t="s">
        <v>915</v>
      </c>
      <c r="N509" s="185" t="s">
        <v>915</v>
      </c>
      <c r="O509" s="188" t="s">
        <v>915</v>
      </c>
      <c r="P509" s="189">
        <v>7966049.0899999989</v>
      </c>
      <c r="Q509" s="189">
        <f>SUM(Q510:Q515)</f>
        <v>0</v>
      </c>
      <c r="R509" s="189">
        <f>SUM(R510:R515)</f>
        <v>0</v>
      </c>
      <c r="S509" s="189">
        <f>SUM(S510:S515)</f>
        <v>7966049.0899999989</v>
      </c>
      <c r="T509" s="189">
        <f t="shared" si="64"/>
        <v>2304.8576731670619</v>
      </c>
      <c r="U509" s="189">
        <f>MAX(U510:U515)</f>
        <v>5594.9625996810209</v>
      </c>
      <c r="V509" s="170">
        <f t="shared" si="68"/>
        <v>3290.1049265139591</v>
      </c>
      <c r="W509" s="170"/>
      <c r="X509" s="170"/>
      <c r="Y509" s="173" t="e">
        <f t="shared" si="69"/>
        <v>#N/A</v>
      </c>
      <c r="AA509" s="173" t="e">
        <f t="shared" si="65"/>
        <v>#N/A</v>
      </c>
      <c r="AC509" s="173" t="s">
        <v>605</v>
      </c>
      <c r="AD509" s="173">
        <v>1447</v>
      </c>
      <c r="AH509" s="173" t="e">
        <f t="shared" si="66"/>
        <v>#N/A</v>
      </c>
      <c r="AS509" s="173" t="e">
        <f t="shared" si="67"/>
        <v>#N/A</v>
      </c>
    </row>
    <row r="510" spans="1:45" s="173" customFormat="1" ht="36" customHeight="1" x14ac:dyDescent="0.9">
      <c r="A510" s="173">
        <v>1</v>
      </c>
      <c r="B510" s="91">
        <f>SUBTOTAL(103,$A$16:A510)</f>
        <v>436</v>
      </c>
      <c r="C510" s="90" t="s">
        <v>189</v>
      </c>
      <c r="D510" s="185" t="s">
        <v>310</v>
      </c>
      <c r="E510" s="185"/>
      <c r="F510" s="191" t="s">
        <v>273</v>
      </c>
      <c r="G510" s="185" t="s">
        <v>311</v>
      </c>
      <c r="H510" s="185" t="s">
        <v>312</v>
      </c>
      <c r="I510" s="189">
        <v>250.8</v>
      </c>
      <c r="J510" s="189">
        <v>250.8</v>
      </c>
      <c r="K510" s="189">
        <v>250.8</v>
      </c>
      <c r="L510" s="187">
        <v>13</v>
      </c>
      <c r="M510" s="185" t="s">
        <v>271</v>
      </c>
      <c r="N510" s="185" t="s">
        <v>275</v>
      </c>
      <c r="O510" s="188" t="s">
        <v>1021</v>
      </c>
      <c r="P510" s="189">
        <v>1403216.62</v>
      </c>
      <c r="Q510" s="189">
        <v>0</v>
      </c>
      <c r="R510" s="189">
        <v>0</v>
      </c>
      <c r="S510" s="189">
        <f t="shared" ref="S510:S515" si="72">P510-Q510-R510</f>
        <v>1403216.62</v>
      </c>
      <c r="T510" s="189">
        <f t="shared" si="64"/>
        <v>5594.9625996810209</v>
      </c>
      <c r="U510" s="189">
        <f>T510</f>
        <v>5594.9625996810209</v>
      </c>
      <c r="V510" s="170">
        <f t="shared" si="68"/>
        <v>0</v>
      </c>
      <c r="W510" s="170"/>
      <c r="X510" s="170"/>
      <c r="Y510" s="173">
        <f t="shared" si="69"/>
        <v>5313.4105263157899</v>
      </c>
      <c r="AA510" s="173">
        <f t="shared" si="65"/>
        <v>255.2</v>
      </c>
      <c r="AC510" s="173" t="s">
        <v>607</v>
      </c>
      <c r="AD510" s="173">
        <v>939.1</v>
      </c>
      <c r="AH510" s="173" t="e">
        <f t="shared" si="66"/>
        <v>#N/A</v>
      </c>
      <c r="AS510" s="173" t="e">
        <f t="shared" si="67"/>
        <v>#N/A</v>
      </c>
    </row>
    <row r="511" spans="1:45" s="173" customFormat="1" ht="36" customHeight="1" x14ac:dyDescent="0.9">
      <c r="A511" s="173">
        <v>1</v>
      </c>
      <c r="B511" s="91">
        <f>SUBTOTAL(103,$A$16:A511)</f>
        <v>437</v>
      </c>
      <c r="C511" s="90" t="s">
        <v>188</v>
      </c>
      <c r="D511" s="185" t="s">
        <v>310</v>
      </c>
      <c r="E511" s="185"/>
      <c r="F511" s="191" t="s">
        <v>273</v>
      </c>
      <c r="G511" s="185" t="s">
        <v>311</v>
      </c>
      <c r="H511" s="185" t="s">
        <v>312</v>
      </c>
      <c r="I511" s="189">
        <v>365</v>
      </c>
      <c r="J511" s="189">
        <v>328</v>
      </c>
      <c r="K511" s="189">
        <v>309.2</v>
      </c>
      <c r="L511" s="187">
        <v>8</v>
      </c>
      <c r="M511" s="185" t="s">
        <v>271</v>
      </c>
      <c r="N511" s="185" t="s">
        <v>272</v>
      </c>
      <c r="O511" s="188" t="s">
        <v>274</v>
      </c>
      <c r="P511" s="189">
        <v>1494699.9999999998</v>
      </c>
      <c r="Q511" s="189">
        <v>0</v>
      </c>
      <c r="R511" s="189">
        <v>0</v>
      </c>
      <c r="S511" s="189">
        <f t="shared" si="72"/>
        <v>1494699.9999999998</v>
      </c>
      <c r="T511" s="189">
        <f t="shared" si="64"/>
        <v>4095.0684931506844</v>
      </c>
      <c r="U511" s="189">
        <f>Y511</f>
        <v>4248.9715068493151</v>
      </c>
      <c r="V511" s="170">
        <f t="shared" si="68"/>
        <v>153.90301369863073</v>
      </c>
      <c r="W511" s="170"/>
      <c r="X511" s="170"/>
      <c r="Y511" s="173">
        <f t="shared" si="69"/>
        <v>4248.9715068493151</v>
      </c>
      <c r="AA511" s="173">
        <f t="shared" si="65"/>
        <v>297</v>
      </c>
      <c r="AC511" s="173" t="s">
        <v>608</v>
      </c>
      <c r="AD511" s="173">
        <v>588</v>
      </c>
      <c r="AH511" s="173" t="e">
        <f t="shared" si="66"/>
        <v>#N/A</v>
      </c>
      <c r="AS511" s="173" t="e">
        <f t="shared" si="67"/>
        <v>#N/A</v>
      </c>
    </row>
    <row r="512" spans="1:45" s="173" customFormat="1" ht="36" customHeight="1" x14ac:dyDescent="0.9">
      <c r="A512" s="173">
        <v>1</v>
      </c>
      <c r="B512" s="91">
        <f>SUBTOTAL(103,$A$16:A512)</f>
        <v>438</v>
      </c>
      <c r="C512" s="90" t="s">
        <v>1296</v>
      </c>
      <c r="D512" s="185">
        <v>1917</v>
      </c>
      <c r="E512" s="185"/>
      <c r="F512" s="191" t="s">
        <v>273</v>
      </c>
      <c r="G512" s="185">
        <v>2</v>
      </c>
      <c r="H512" s="185">
        <v>1</v>
      </c>
      <c r="I512" s="189">
        <v>513</v>
      </c>
      <c r="J512" s="189">
        <v>316.7</v>
      </c>
      <c r="K512" s="189">
        <v>316.7</v>
      </c>
      <c r="L512" s="187">
        <v>21</v>
      </c>
      <c r="M512" s="185" t="s">
        <v>271</v>
      </c>
      <c r="N512" s="185" t="s">
        <v>275</v>
      </c>
      <c r="O512" s="188" t="s">
        <v>1338</v>
      </c>
      <c r="P512" s="189">
        <v>2173966.8199999998</v>
      </c>
      <c r="Q512" s="189">
        <v>0</v>
      </c>
      <c r="R512" s="189">
        <v>0</v>
      </c>
      <c r="S512" s="189">
        <f t="shared" si="72"/>
        <v>2173966.8199999998</v>
      </c>
      <c r="T512" s="189">
        <f t="shared" si="64"/>
        <v>4237.7520857699801</v>
      </c>
      <c r="U512" s="189">
        <f>Y512</f>
        <v>4452.2715789473677</v>
      </c>
      <c r="V512" s="170">
        <f t="shared" si="68"/>
        <v>214.51949317738763</v>
      </c>
      <c r="W512" s="170"/>
      <c r="X512" s="170"/>
      <c r="Y512" s="173">
        <f t="shared" si="69"/>
        <v>4452.2715789473677</v>
      </c>
      <c r="AA512" s="173">
        <f t="shared" si="65"/>
        <v>437.4</v>
      </c>
      <c r="AC512" s="173" t="s">
        <v>610</v>
      </c>
      <c r="AD512" s="173">
        <v>562</v>
      </c>
      <c r="AH512" s="173" t="e">
        <f t="shared" si="66"/>
        <v>#N/A</v>
      </c>
      <c r="AS512" s="173" t="e">
        <f t="shared" si="67"/>
        <v>#N/A</v>
      </c>
    </row>
    <row r="513" spans="1:45" s="173" customFormat="1" ht="36" customHeight="1" x14ac:dyDescent="0.9">
      <c r="A513" s="173">
        <v>1</v>
      </c>
      <c r="B513" s="91">
        <f>SUBTOTAL(103,$A$16:A513)</f>
        <v>439</v>
      </c>
      <c r="C513" s="90" t="s">
        <v>1297</v>
      </c>
      <c r="D513" s="185">
        <v>1917</v>
      </c>
      <c r="E513" s="185"/>
      <c r="F513" s="191" t="s">
        <v>273</v>
      </c>
      <c r="G513" s="185">
        <v>2</v>
      </c>
      <c r="H513" s="185">
        <v>1</v>
      </c>
      <c r="I513" s="189">
        <v>483.1</v>
      </c>
      <c r="J513" s="189">
        <v>426.2</v>
      </c>
      <c r="K513" s="189">
        <v>426.2</v>
      </c>
      <c r="L513" s="187">
        <v>28</v>
      </c>
      <c r="M513" s="185" t="s">
        <v>271</v>
      </c>
      <c r="N513" s="185" t="s">
        <v>275</v>
      </c>
      <c r="O513" s="188" t="s">
        <v>1376</v>
      </c>
      <c r="P513" s="189">
        <v>1441821.96</v>
      </c>
      <c r="Q513" s="189">
        <v>0</v>
      </c>
      <c r="R513" s="189">
        <v>0</v>
      </c>
      <c r="S513" s="189">
        <f t="shared" si="72"/>
        <v>1441821.96</v>
      </c>
      <c r="T513" s="189">
        <f t="shared" si="64"/>
        <v>2984.5207203477539</v>
      </c>
      <c r="U513" s="189">
        <f>Y513</f>
        <v>4410.0484371765679</v>
      </c>
      <c r="V513" s="170">
        <f t="shared" si="68"/>
        <v>1425.5277168288139</v>
      </c>
      <c r="W513" s="170"/>
      <c r="X513" s="170"/>
      <c r="Y513" s="173">
        <f t="shared" si="69"/>
        <v>4410.0484371765679</v>
      </c>
      <c r="AA513" s="173">
        <f t="shared" si="65"/>
        <v>408</v>
      </c>
      <c r="AC513" s="173" t="s">
        <v>611</v>
      </c>
      <c r="AD513" s="173">
        <v>400</v>
      </c>
      <c r="AH513" s="173" t="e">
        <f t="shared" si="66"/>
        <v>#N/A</v>
      </c>
      <c r="AS513" s="173" t="e">
        <f t="shared" si="67"/>
        <v>#N/A</v>
      </c>
    </row>
    <row r="514" spans="1:45" s="173" customFormat="1" ht="36" customHeight="1" x14ac:dyDescent="0.9">
      <c r="A514" s="173">
        <v>1</v>
      </c>
      <c r="B514" s="91">
        <f>SUBTOTAL(103,$A$16:A514)</f>
        <v>440</v>
      </c>
      <c r="C514" s="90" t="s">
        <v>1298</v>
      </c>
      <c r="D514" s="185">
        <v>1967</v>
      </c>
      <c r="E514" s="185">
        <v>2014</v>
      </c>
      <c r="F514" s="191" t="s">
        <v>273</v>
      </c>
      <c r="G514" s="185">
        <v>2</v>
      </c>
      <c r="H514" s="185">
        <v>4</v>
      </c>
      <c r="I514" s="189">
        <v>919.3</v>
      </c>
      <c r="J514" s="189">
        <v>760.3</v>
      </c>
      <c r="K514" s="189">
        <v>760.3</v>
      </c>
      <c r="L514" s="187">
        <v>34</v>
      </c>
      <c r="M514" s="185" t="s">
        <v>271</v>
      </c>
      <c r="N514" s="185" t="s">
        <v>275</v>
      </c>
      <c r="O514" s="188" t="s">
        <v>1377</v>
      </c>
      <c r="P514" s="189">
        <v>725838.89999999991</v>
      </c>
      <c r="Q514" s="189">
        <v>0</v>
      </c>
      <c r="R514" s="189">
        <v>0</v>
      </c>
      <c r="S514" s="189">
        <f t="shared" si="72"/>
        <v>725838.89999999991</v>
      </c>
      <c r="T514" s="189">
        <f t="shared" si="64"/>
        <v>789.55607527466543</v>
      </c>
      <c r="U514" s="189">
        <f>T514</f>
        <v>789.55607527466543</v>
      </c>
      <c r="V514" s="170">
        <f t="shared" si="68"/>
        <v>0</v>
      </c>
      <c r="W514" s="170"/>
      <c r="X514" s="170"/>
      <c r="Y514" s="173" t="e">
        <f t="shared" si="69"/>
        <v>#N/A</v>
      </c>
      <c r="AA514" s="173" t="e">
        <f t="shared" si="65"/>
        <v>#N/A</v>
      </c>
      <c r="AC514" s="173" t="s">
        <v>612</v>
      </c>
      <c r="AD514" s="173">
        <v>960</v>
      </c>
      <c r="AH514" s="173" t="e">
        <f t="shared" si="66"/>
        <v>#N/A</v>
      </c>
      <c r="AS514" s="173" t="e">
        <f t="shared" si="67"/>
        <v>#N/A</v>
      </c>
    </row>
    <row r="515" spans="1:45" s="173" customFormat="1" ht="36" customHeight="1" x14ac:dyDescent="0.9">
      <c r="A515" s="173">
        <v>1</v>
      </c>
      <c r="B515" s="91">
        <f>SUBTOTAL(103,$A$16:A515)</f>
        <v>441</v>
      </c>
      <c r="C515" s="90" t="s">
        <v>1299</v>
      </c>
      <c r="D515" s="185">
        <v>1967</v>
      </c>
      <c r="E515" s="185">
        <v>2014</v>
      </c>
      <c r="F515" s="191" t="s">
        <v>273</v>
      </c>
      <c r="G515" s="185">
        <v>2</v>
      </c>
      <c r="H515" s="185">
        <v>4</v>
      </c>
      <c r="I515" s="189">
        <v>925</v>
      </c>
      <c r="J515" s="189">
        <v>759.4</v>
      </c>
      <c r="K515" s="189">
        <v>759.4</v>
      </c>
      <c r="L515" s="187">
        <v>28</v>
      </c>
      <c r="M515" s="185" t="s">
        <v>271</v>
      </c>
      <c r="N515" s="185" t="s">
        <v>275</v>
      </c>
      <c r="O515" s="188" t="s">
        <v>1377</v>
      </c>
      <c r="P515" s="189">
        <v>726504.79</v>
      </c>
      <c r="Q515" s="189">
        <v>0</v>
      </c>
      <c r="R515" s="189">
        <v>0</v>
      </c>
      <c r="S515" s="189">
        <f t="shared" si="72"/>
        <v>726504.79</v>
      </c>
      <c r="T515" s="189">
        <f t="shared" si="64"/>
        <v>785.41058378378386</v>
      </c>
      <c r="U515" s="189">
        <f>T515</f>
        <v>785.41058378378386</v>
      </c>
      <c r="V515" s="170">
        <f t="shared" si="68"/>
        <v>0</v>
      </c>
      <c r="W515" s="170"/>
      <c r="X515" s="170"/>
      <c r="Y515" s="173" t="e">
        <f t="shared" si="69"/>
        <v>#N/A</v>
      </c>
      <c r="AA515" s="173" t="e">
        <f t="shared" si="65"/>
        <v>#N/A</v>
      </c>
      <c r="AC515" s="173" t="s">
        <v>613</v>
      </c>
      <c r="AD515" s="173">
        <v>960</v>
      </c>
      <c r="AH515" s="173" t="e">
        <f t="shared" si="66"/>
        <v>#N/A</v>
      </c>
      <c r="AS515" s="173" t="e">
        <f t="shared" si="67"/>
        <v>#N/A</v>
      </c>
    </row>
    <row r="516" spans="1:45" s="173" customFormat="1" ht="36" customHeight="1" x14ac:dyDescent="0.9">
      <c r="B516" s="90" t="s">
        <v>884</v>
      </c>
      <c r="C516" s="90"/>
      <c r="D516" s="185" t="s">
        <v>915</v>
      </c>
      <c r="E516" s="185" t="s">
        <v>915</v>
      </c>
      <c r="F516" s="185" t="s">
        <v>915</v>
      </c>
      <c r="G516" s="185" t="s">
        <v>915</v>
      </c>
      <c r="H516" s="185" t="s">
        <v>915</v>
      </c>
      <c r="I516" s="186">
        <f>I517</f>
        <v>1755.2</v>
      </c>
      <c r="J516" s="186">
        <f>J517</f>
        <v>1537.2</v>
      </c>
      <c r="K516" s="186">
        <f>K517</f>
        <v>1537.2</v>
      </c>
      <c r="L516" s="187">
        <f>L517</f>
        <v>63</v>
      </c>
      <c r="M516" s="185" t="s">
        <v>915</v>
      </c>
      <c r="N516" s="185" t="s">
        <v>915</v>
      </c>
      <c r="O516" s="188" t="s">
        <v>915</v>
      </c>
      <c r="P516" s="189">
        <v>4880587.2799999993</v>
      </c>
      <c r="Q516" s="189">
        <f>Q517</f>
        <v>0</v>
      </c>
      <c r="R516" s="189">
        <f>R517</f>
        <v>0</v>
      </c>
      <c r="S516" s="189">
        <f>S517</f>
        <v>4880587.2799999993</v>
      </c>
      <c r="T516" s="189">
        <f t="shared" si="64"/>
        <v>2780.6445305378302</v>
      </c>
      <c r="U516" s="189">
        <f>U517</f>
        <v>3060.1318824065629</v>
      </c>
      <c r="V516" s="170">
        <f t="shared" si="68"/>
        <v>279.48735186873273</v>
      </c>
      <c r="W516" s="170"/>
      <c r="X516" s="170"/>
      <c r="Y516" s="173" t="e">
        <f t="shared" si="69"/>
        <v>#N/A</v>
      </c>
      <c r="AA516" s="173" t="e">
        <f t="shared" si="65"/>
        <v>#N/A</v>
      </c>
      <c r="AC516" s="173" t="s">
        <v>614</v>
      </c>
      <c r="AD516" s="173">
        <v>364.8</v>
      </c>
      <c r="AH516" s="173" t="e">
        <f t="shared" si="66"/>
        <v>#N/A</v>
      </c>
      <c r="AS516" s="173" t="e">
        <f t="shared" si="67"/>
        <v>#N/A</v>
      </c>
    </row>
    <row r="517" spans="1:45" s="173" customFormat="1" ht="36" customHeight="1" x14ac:dyDescent="0.9">
      <c r="A517" s="173">
        <v>1</v>
      </c>
      <c r="B517" s="91">
        <f>SUBTOTAL(103,$A$16:A517)</f>
        <v>442</v>
      </c>
      <c r="C517" s="90" t="s">
        <v>192</v>
      </c>
      <c r="D517" s="185">
        <v>1959</v>
      </c>
      <c r="E517" s="185"/>
      <c r="F517" s="191" t="s">
        <v>273</v>
      </c>
      <c r="G517" s="185">
        <v>3</v>
      </c>
      <c r="H517" s="185">
        <v>4</v>
      </c>
      <c r="I517" s="189">
        <v>1755.2</v>
      </c>
      <c r="J517" s="189">
        <v>1537.2</v>
      </c>
      <c r="K517" s="189">
        <v>1537.2</v>
      </c>
      <c r="L517" s="187">
        <v>63</v>
      </c>
      <c r="M517" s="185" t="s">
        <v>271</v>
      </c>
      <c r="N517" s="185" t="s">
        <v>272</v>
      </c>
      <c r="O517" s="188" t="s">
        <v>274</v>
      </c>
      <c r="P517" s="189">
        <v>4880587.2799999993</v>
      </c>
      <c r="Q517" s="189">
        <v>0</v>
      </c>
      <c r="R517" s="189">
        <v>0</v>
      </c>
      <c r="S517" s="189">
        <f>P517-Q517-R517</f>
        <v>4880587.2799999993</v>
      </c>
      <c r="T517" s="189">
        <f t="shared" si="64"/>
        <v>2780.6445305378302</v>
      </c>
      <c r="U517" s="189">
        <f>Y517</f>
        <v>3060.1318824065629</v>
      </c>
      <c r="V517" s="170">
        <f t="shared" si="68"/>
        <v>279.48735186873273</v>
      </c>
      <c r="W517" s="170"/>
      <c r="X517" s="170"/>
      <c r="Y517" s="173">
        <f t="shared" si="69"/>
        <v>3060.1318824065629</v>
      </c>
      <c r="AA517" s="173">
        <f t="shared" si="65"/>
        <v>1028.5999999999999</v>
      </c>
      <c r="AC517" s="173" t="s">
        <v>615</v>
      </c>
      <c r="AD517" s="173">
        <v>960</v>
      </c>
      <c r="AH517" s="173" t="e">
        <f t="shared" si="66"/>
        <v>#N/A</v>
      </c>
      <c r="AS517" s="173" t="e">
        <f t="shared" si="67"/>
        <v>#N/A</v>
      </c>
    </row>
    <row r="518" spans="1:45" s="173" customFormat="1" ht="36" customHeight="1" x14ac:dyDescent="0.9">
      <c r="B518" s="90" t="s">
        <v>885</v>
      </c>
      <c r="C518" s="90"/>
      <c r="D518" s="185" t="s">
        <v>915</v>
      </c>
      <c r="E518" s="185" t="s">
        <v>915</v>
      </c>
      <c r="F518" s="185" t="s">
        <v>915</v>
      </c>
      <c r="G518" s="185" t="s">
        <v>915</v>
      </c>
      <c r="H518" s="185" t="s">
        <v>915</v>
      </c>
      <c r="I518" s="186">
        <f>I519+I520</f>
        <v>4920.8999999999996</v>
      </c>
      <c r="J518" s="186">
        <f>J519+J520</f>
        <v>2992.2999999999997</v>
      </c>
      <c r="K518" s="186">
        <f>K519+K520</f>
        <v>677.6</v>
      </c>
      <c r="L518" s="187">
        <f>L519+L520</f>
        <v>133</v>
      </c>
      <c r="M518" s="185" t="s">
        <v>915</v>
      </c>
      <c r="N518" s="185" t="s">
        <v>915</v>
      </c>
      <c r="O518" s="188" t="s">
        <v>915</v>
      </c>
      <c r="P518" s="186">
        <v>8593030.2200000007</v>
      </c>
      <c r="Q518" s="186">
        <f>Q519+Q520</f>
        <v>0</v>
      </c>
      <c r="R518" s="186">
        <f>R519+R520</f>
        <v>0</v>
      </c>
      <c r="S518" s="186">
        <f>S519+S520</f>
        <v>8593030.2200000007</v>
      </c>
      <c r="T518" s="189">
        <f t="shared" si="64"/>
        <v>1746.231425145807</v>
      </c>
      <c r="U518" s="189">
        <f>MAX(U519:U520)</f>
        <v>7025.8158215331068</v>
      </c>
      <c r="V518" s="170">
        <f t="shared" si="68"/>
        <v>5279.5843963872994</v>
      </c>
      <c r="W518" s="170"/>
      <c r="X518" s="170"/>
      <c r="Y518" s="173" t="e">
        <f t="shared" si="69"/>
        <v>#N/A</v>
      </c>
      <c r="AA518" s="173" t="e">
        <f t="shared" si="65"/>
        <v>#N/A</v>
      </c>
      <c r="AC518" s="173" t="s">
        <v>616</v>
      </c>
      <c r="AD518" s="173">
        <v>960</v>
      </c>
      <c r="AH518" s="173" t="e">
        <f t="shared" si="66"/>
        <v>#N/A</v>
      </c>
      <c r="AS518" s="173" t="e">
        <f t="shared" si="67"/>
        <v>#N/A</v>
      </c>
    </row>
    <row r="519" spans="1:45" s="173" customFormat="1" ht="36" customHeight="1" x14ac:dyDescent="0.9">
      <c r="A519" s="173">
        <v>1</v>
      </c>
      <c r="B519" s="91">
        <f>SUBTOTAL(103,$A$16:A519)</f>
        <v>443</v>
      </c>
      <c r="C519" s="90" t="s">
        <v>191</v>
      </c>
      <c r="D519" s="185" t="s">
        <v>313</v>
      </c>
      <c r="E519" s="185"/>
      <c r="F519" s="191" t="s">
        <v>273</v>
      </c>
      <c r="G519" s="185" t="s">
        <v>311</v>
      </c>
      <c r="H519" s="185" t="s">
        <v>311</v>
      </c>
      <c r="I519" s="189">
        <v>729.9</v>
      </c>
      <c r="J519" s="189">
        <v>464.1</v>
      </c>
      <c r="K519" s="189">
        <v>464.1</v>
      </c>
      <c r="L519" s="187">
        <v>37</v>
      </c>
      <c r="M519" s="185" t="s">
        <v>271</v>
      </c>
      <c r="N519" s="185" t="s">
        <v>275</v>
      </c>
      <c r="O519" s="188" t="s">
        <v>1022</v>
      </c>
      <c r="P519" s="189">
        <v>2806225.7399999998</v>
      </c>
      <c r="Q519" s="189">
        <v>0</v>
      </c>
      <c r="R519" s="189">
        <v>0</v>
      </c>
      <c r="S519" s="189">
        <f>P519-Q519-R519</f>
        <v>2806225.7399999998</v>
      </c>
      <c r="T519" s="189">
        <f t="shared" si="64"/>
        <v>3844.6715166461158</v>
      </c>
      <c r="U519" s="189">
        <f>T519</f>
        <v>3844.6715166461158</v>
      </c>
      <c r="V519" s="170">
        <f t="shared" si="68"/>
        <v>0</v>
      </c>
      <c r="W519" s="170"/>
      <c r="X519" s="170"/>
      <c r="Y519" s="173">
        <f t="shared" si="69"/>
        <v>4137.9491985203458</v>
      </c>
      <c r="AA519" s="173">
        <f t="shared" si="65"/>
        <v>578.4</v>
      </c>
      <c r="AC519" s="173" t="s">
        <v>617</v>
      </c>
      <c r="AD519" s="173">
        <v>670</v>
      </c>
      <c r="AH519" s="173" t="e">
        <f t="shared" si="66"/>
        <v>#N/A</v>
      </c>
      <c r="AS519" s="173" t="e">
        <f t="shared" si="67"/>
        <v>#N/A</v>
      </c>
    </row>
    <row r="520" spans="1:45" s="173" customFormat="1" ht="36" customHeight="1" x14ac:dyDescent="0.9">
      <c r="A520" s="173">
        <v>1</v>
      </c>
      <c r="B520" s="91">
        <f>SUBTOTAL(103,$A$16:A520)</f>
        <v>444</v>
      </c>
      <c r="C520" s="90" t="s">
        <v>1591</v>
      </c>
      <c r="D520" s="185">
        <v>1977</v>
      </c>
      <c r="E520" s="185"/>
      <c r="F520" s="191" t="s">
        <v>273</v>
      </c>
      <c r="G520" s="185">
        <v>5</v>
      </c>
      <c r="H520" s="185">
        <v>1</v>
      </c>
      <c r="I520" s="189">
        <v>4191</v>
      </c>
      <c r="J520" s="189">
        <v>2528.1999999999998</v>
      </c>
      <c r="K520" s="189">
        <v>213.5</v>
      </c>
      <c r="L520" s="187">
        <v>96</v>
      </c>
      <c r="M520" s="185" t="s">
        <v>271</v>
      </c>
      <c r="N520" s="185" t="s">
        <v>275</v>
      </c>
      <c r="O520" s="188" t="s">
        <v>1628</v>
      </c>
      <c r="P520" s="189">
        <v>5786804.4800000004</v>
      </c>
      <c r="Q520" s="189">
        <v>0</v>
      </c>
      <c r="R520" s="189">
        <v>0</v>
      </c>
      <c r="S520" s="189">
        <f>P520-R520-Q520</f>
        <v>5786804.4800000004</v>
      </c>
      <c r="T520" s="189">
        <f t="shared" si="64"/>
        <v>1380.7693820090672</v>
      </c>
      <c r="U520" s="189">
        <f>AG520</f>
        <v>7025.8158215331068</v>
      </c>
      <c r="V520" s="170">
        <f t="shared" si="68"/>
        <v>5645.0464395240397</v>
      </c>
      <c r="W520" s="170"/>
      <c r="X520" s="170"/>
      <c r="Y520" s="173" t="e">
        <f t="shared" si="69"/>
        <v>#N/A</v>
      </c>
      <c r="AA520" s="173" t="e">
        <f t="shared" si="65"/>
        <v>#N/A</v>
      </c>
      <c r="AC520" s="173" t="s">
        <v>618</v>
      </c>
      <c r="AD520" s="173">
        <v>235</v>
      </c>
      <c r="AG520" s="173">
        <f>AH520*6191.24/J520</f>
        <v>7025.8158215331068</v>
      </c>
      <c r="AH520" s="173">
        <f t="shared" si="66"/>
        <v>2869</v>
      </c>
      <c r="AS520" s="173" t="e">
        <f t="shared" si="67"/>
        <v>#N/A</v>
      </c>
    </row>
    <row r="521" spans="1:45" s="173" customFormat="1" ht="36" customHeight="1" x14ac:dyDescent="0.9">
      <c r="B521" s="90" t="s">
        <v>886</v>
      </c>
      <c r="C521" s="90"/>
      <c r="D521" s="185" t="s">
        <v>915</v>
      </c>
      <c r="E521" s="185" t="s">
        <v>915</v>
      </c>
      <c r="F521" s="185" t="s">
        <v>915</v>
      </c>
      <c r="G521" s="185" t="s">
        <v>915</v>
      </c>
      <c r="H521" s="185" t="s">
        <v>915</v>
      </c>
      <c r="I521" s="186">
        <f>I522</f>
        <v>428.4</v>
      </c>
      <c r="J521" s="186">
        <f>J522</f>
        <v>385.4</v>
      </c>
      <c r="K521" s="186">
        <f>K522</f>
        <v>385.4</v>
      </c>
      <c r="L521" s="187">
        <f>L522</f>
        <v>20</v>
      </c>
      <c r="M521" s="185" t="s">
        <v>915</v>
      </c>
      <c r="N521" s="185" t="s">
        <v>915</v>
      </c>
      <c r="O521" s="188" t="s">
        <v>915</v>
      </c>
      <c r="P521" s="189">
        <v>2644709.0300000003</v>
      </c>
      <c r="Q521" s="189">
        <f>Q522</f>
        <v>0</v>
      </c>
      <c r="R521" s="189">
        <f>R522</f>
        <v>0</v>
      </c>
      <c r="S521" s="189">
        <f>S522</f>
        <v>2644709.0300000003</v>
      </c>
      <c r="T521" s="189">
        <f t="shared" si="64"/>
        <v>6173.4571195144736</v>
      </c>
      <c r="U521" s="189">
        <f>T521</f>
        <v>6173.4571195144736</v>
      </c>
      <c r="V521" s="170">
        <f t="shared" si="68"/>
        <v>0</v>
      </c>
      <c r="W521" s="170"/>
      <c r="X521" s="170"/>
      <c r="Y521" s="173" t="e">
        <f t="shared" si="69"/>
        <v>#N/A</v>
      </c>
      <c r="AA521" s="173" t="e">
        <f t="shared" si="65"/>
        <v>#N/A</v>
      </c>
      <c r="AC521" s="173" t="s">
        <v>619</v>
      </c>
      <c r="AD521" s="173">
        <v>765</v>
      </c>
      <c r="AH521" s="173" t="e">
        <f t="shared" si="66"/>
        <v>#N/A</v>
      </c>
      <c r="AS521" s="173" t="e">
        <f t="shared" si="67"/>
        <v>#N/A</v>
      </c>
    </row>
    <row r="522" spans="1:45" s="173" customFormat="1" ht="36" customHeight="1" x14ac:dyDescent="0.9">
      <c r="A522" s="173">
        <v>1</v>
      </c>
      <c r="B522" s="91">
        <f>SUBTOTAL(103,$A$16:A522)</f>
        <v>445</v>
      </c>
      <c r="C522" s="90" t="s">
        <v>190</v>
      </c>
      <c r="D522" s="185" t="s">
        <v>314</v>
      </c>
      <c r="E522" s="185"/>
      <c r="F522" s="191" t="s">
        <v>273</v>
      </c>
      <c r="G522" s="185" t="s">
        <v>311</v>
      </c>
      <c r="H522" s="185" t="s">
        <v>311</v>
      </c>
      <c r="I522" s="189">
        <v>428.4</v>
      </c>
      <c r="J522" s="189">
        <v>385.4</v>
      </c>
      <c r="K522" s="189">
        <v>385.4</v>
      </c>
      <c r="L522" s="187">
        <v>20</v>
      </c>
      <c r="M522" s="185" t="s">
        <v>271</v>
      </c>
      <c r="N522" s="185" t="s">
        <v>272</v>
      </c>
      <c r="O522" s="188" t="s">
        <v>274</v>
      </c>
      <c r="P522" s="189">
        <v>2644709.0300000003</v>
      </c>
      <c r="Q522" s="189">
        <v>0</v>
      </c>
      <c r="R522" s="189">
        <v>0</v>
      </c>
      <c r="S522" s="189">
        <f>P522-Q522-R522</f>
        <v>2644709.0300000003</v>
      </c>
      <c r="T522" s="189">
        <f t="shared" si="64"/>
        <v>6173.4571195144736</v>
      </c>
      <c r="U522" s="189">
        <f>T522</f>
        <v>6173.4571195144736</v>
      </c>
      <c r="V522" s="170">
        <f t="shared" si="68"/>
        <v>0</v>
      </c>
      <c r="W522" s="170"/>
      <c r="X522" s="170"/>
      <c r="Y522" s="173">
        <f t="shared" si="69"/>
        <v>4607.4705882352946</v>
      </c>
      <c r="AA522" s="173">
        <f t="shared" si="65"/>
        <v>378</v>
      </c>
      <c r="AC522" s="173" t="s">
        <v>620</v>
      </c>
      <c r="AD522" s="173">
        <v>760.2</v>
      </c>
      <c r="AH522" s="173" t="e">
        <f t="shared" si="66"/>
        <v>#N/A</v>
      </c>
      <c r="AS522" s="173" t="e">
        <f t="shared" si="67"/>
        <v>#N/A</v>
      </c>
    </row>
    <row r="523" spans="1:45" s="173" customFormat="1" ht="36" customHeight="1" x14ac:dyDescent="0.9">
      <c r="B523" s="90" t="s">
        <v>887</v>
      </c>
      <c r="C523" s="192"/>
      <c r="D523" s="185" t="s">
        <v>915</v>
      </c>
      <c r="E523" s="185" t="s">
        <v>915</v>
      </c>
      <c r="F523" s="185" t="s">
        <v>915</v>
      </c>
      <c r="G523" s="185" t="s">
        <v>915</v>
      </c>
      <c r="H523" s="185" t="s">
        <v>915</v>
      </c>
      <c r="I523" s="186">
        <f>SUM(I524:I531)</f>
        <v>11982.3</v>
      </c>
      <c r="J523" s="186">
        <f>SUM(J524:J531)</f>
        <v>9878.380000000001</v>
      </c>
      <c r="K523" s="186">
        <f>SUM(K524:K531)</f>
        <v>8520.4</v>
      </c>
      <c r="L523" s="187">
        <f>SUM(L524:L531)</f>
        <v>561</v>
      </c>
      <c r="M523" s="185" t="s">
        <v>915</v>
      </c>
      <c r="N523" s="185" t="s">
        <v>915</v>
      </c>
      <c r="O523" s="188" t="s">
        <v>915</v>
      </c>
      <c r="P523" s="186">
        <v>18642577.799999997</v>
      </c>
      <c r="Q523" s="186">
        <f>SUM(Q524:Q531)</f>
        <v>0</v>
      </c>
      <c r="R523" s="186">
        <f>SUM(R524:R531)</f>
        <v>0</v>
      </c>
      <c r="S523" s="186">
        <f>SUM(S524:S531)</f>
        <v>18642577.799999997</v>
      </c>
      <c r="T523" s="189">
        <f t="shared" si="64"/>
        <v>1555.8430184522169</v>
      </c>
      <c r="U523" s="189">
        <f>MAX(U524:U531)</f>
        <v>2768.0599183048253</v>
      </c>
      <c r="V523" s="170">
        <f t="shared" si="68"/>
        <v>1212.2168998526083</v>
      </c>
      <c r="W523" s="170"/>
      <c r="X523" s="170"/>
      <c r="Y523" s="173" t="e">
        <f t="shared" si="69"/>
        <v>#N/A</v>
      </c>
      <c r="AA523" s="173" t="e">
        <f t="shared" si="65"/>
        <v>#N/A</v>
      </c>
      <c r="AC523" s="173" t="s">
        <v>621</v>
      </c>
      <c r="AD523" s="173">
        <v>571.76</v>
      </c>
      <c r="AH523" s="173" t="e">
        <f t="shared" si="66"/>
        <v>#N/A</v>
      </c>
      <c r="AS523" s="173" t="e">
        <f t="shared" si="67"/>
        <v>#N/A</v>
      </c>
    </row>
    <row r="524" spans="1:45" s="173" customFormat="1" ht="36" customHeight="1" x14ac:dyDescent="0.9">
      <c r="A524" s="173">
        <v>1</v>
      </c>
      <c r="B524" s="91">
        <f>SUBTOTAL(103,$A$16:A524)</f>
        <v>446</v>
      </c>
      <c r="C524" s="90" t="s">
        <v>221</v>
      </c>
      <c r="D524" s="185">
        <v>1974</v>
      </c>
      <c r="E524" s="185"/>
      <c r="F524" s="191" t="s">
        <v>273</v>
      </c>
      <c r="G524" s="185">
        <v>5</v>
      </c>
      <c r="H524" s="185">
        <v>4</v>
      </c>
      <c r="I524" s="189">
        <v>3601.7</v>
      </c>
      <c r="J524" s="189">
        <v>3307.8</v>
      </c>
      <c r="K524" s="189">
        <v>3214.4</v>
      </c>
      <c r="L524" s="187">
        <v>129</v>
      </c>
      <c r="M524" s="185" t="s">
        <v>271</v>
      </c>
      <c r="N524" s="185" t="s">
        <v>275</v>
      </c>
      <c r="O524" s="188" t="s">
        <v>340</v>
      </c>
      <c r="P524" s="189">
        <v>5882102.4900000002</v>
      </c>
      <c r="Q524" s="189">
        <v>0</v>
      </c>
      <c r="R524" s="189">
        <v>0</v>
      </c>
      <c r="S524" s="189">
        <f t="shared" ref="S524:S529" si="73">P524-Q524-R524</f>
        <v>5882102.4900000002</v>
      </c>
      <c r="T524" s="189">
        <f t="shared" si="64"/>
        <v>1633.1461504289643</v>
      </c>
      <c r="U524" s="189">
        <f>T524</f>
        <v>1633.1461504289643</v>
      </c>
      <c r="V524" s="170">
        <f t="shared" si="68"/>
        <v>0</v>
      </c>
      <c r="W524" s="170"/>
      <c r="X524" s="170"/>
      <c r="Y524" s="173">
        <f t="shared" si="69"/>
        <v>1532.5563278451843</v>
      </c>
      <c r="AA524" s="173">
        <f t="shared" si="65"/>
        <v>1057.07</v>
      </c>
      <c r="AC524" s="173" t="s">
        <v>1409</v>
      </c>
      <c r="AD524" s="173">
        <v>2314</v>
      </c>
      <c r="AH524" s="173" t="e">
        <f t="shared" si="66"/>
        <v>#N/A</v>
      </c>
      <c r="AS524" s="173" t="e">
        <f t="shared" si="67"/>
        <v>#N/A</v>
      </c>
    </row>
    <row r="525" spans="1:45" s="173" customFormat="1" ht="36" customHeight="1" x14ac:dyDescent="0.9">
      <c r="A525" s="173">
        <v>1</v>
      </c>
      <c r="B525" s="91">
        <f>SUBTOTAL(103,$A$16:A525)</f>
        <v>447</v>
      </c>
      <c r="C525" s="90" t="s">
        <v>222</v>
      </c>
      <c r="D525" s="185">
        <v>1992</v>
      </c>
      <c r="E525" s="185"/>
      <c r="F525" s="191" t="s">
        <v>319</v>
      </c>
      <c r="G525" s="185">
        <v>2</v>
      </c>
      <c r="H525" s="185">
        <v>2</v>
      </c>
      <c r="I525" s="189">
        <v>690.3</v>
      </c>
      <c r="J525" s="189">
        <v>630.29999999999995</v>
      </c>
      <c r="K525" s="189">
        <v>630.29999999999995</v>
      </c>
      <c r="L525" s="187">
        <v>25</v>
      </c>
      <c r="M525" s="185" t="s">
        <v>271</v>
      </c>
      <c r="N525" s="185" t="s">
        <v>275</v>
      </c>
      <c r="O525" s="188" t="s">
        <v>340</v>
      </c>
      <c r="P525" s="189">
        <v>722543.68</v>
      </c>
      <c r="Q525" s="189">
        <v>0</v>
      </c>
      <c r="R525" s="189">
        <v>0</v>
      </c>
      <c r="S525" s="189">
        <f t="shared" si="73"/>
        <v>722543.68</v>
      </c>
      <c r="T525" s="189">
        <f t="shared" si="64"/>
        <v>1046.7096624655949</v>
      </c>
      <c r="U525" s="189">
        <v>2753.19</v>
      </c>
      <c r="V525" s="170">
        <f t="shared" si="68"/>
        <v>1706.4803375344052</v>
      </c>
      <c r="W525" s="170"/>
      <c r="X525" s="170"/>
      <c r="Y525" s="173" t="e">
        <f t="shared" si="69"/>
        <v>#N/A</v>
      </c>
      <c r="AA525" s="173" t="e">
        <f t="shared" si="65"/>
        <v>#N/A</v>
      </c>
      <c r="AC525" s="173" t="s">
        <v>1681</v>
      </c>
      <c r="AD525" s="173">
        <v>1196</v>
      </c>
      <c r="AH525" s="173" t="e">
        <f t="shared" si="66"/>
        <v>#N/A</v>
      </c>
      <c r="AS525" s="173" t="e">
        <f t="shared" si="67"/>
        <v>#N/A</v>
      </c>
    </row>
    <row r="526" spans="1:45" s="173" customFormat="1" ht="36" customHeight="1" x14ac:dyDescent="0.9">
      <c r="A526" s="173">
        <v>1</v>
      </c>
      <c r="B526" s="91">
        <f>SUBTOTAL(103,$A$16:A526)</f>
        <v>448</v>
      </c>
      <c r="C526" s="90" t="s">
        <v>1300</v>
      </c>
      <c r="D526" s="185">
        <v>1967</v>
      </c>
      <c r="E526" s="185"/>
      <c r="F526" s="191" t="s">
        <v>273</v>
      </c>
      <c r="G526" s="185">
        <v>4</v>
      </c>
      <c r="H526" s="185">
        <v>2</v>
      </c>
      <c r="I526" s="189">
        <v>2162.6999999999998</v>
      </c>
      <c r="J526" s="189">
        <v>1343.3</v>
      </c>
      <c r="K526" s="189">
        <v>620.5</v>
      </c>
      <c r="L526" s="187">
        <v>138</v>
      </c>
      <c r="M526" s="185" t="s">
        <v>271</v>
      </c>
      <c r="N526" s="185" t="s">
        <v>275</v>
      </c>
      <c r="O526" s="188" t="s">
        <v>1328</v>
      </c>
      <c r="P526" s="189">
        <v>3239861.98</v>
      </c>
      <c r="Q526" s="189">
        <v>0</v>
      </c>
      <c r="R526" s="189">
        <v>0</v>
      </c>
      <c r="S526" s="189">
        <f t="shared" si="73"/>
        <v>3239861.98</v>
      </c>
      <c r="T526" s="189">
        <f t="shared" ref="T526:T589" si="74">P526/I526</f>
        <v>1498.063522448791</v>
      </c>
      <c r="U526" s="189">
        <v>2753.19</v>
      </c>
      <c r="V526" s="170">
        <f t="shared" si="68"/>
        <v>1255.1264775512091</v>
      </c>
      <c r="W526" s="170"/>
      <c r="X526" s="170"/>
      <c r="Y526" s="173" t="e">
        <f t="shared" si="69"/>
        <v>#N/A</v>
      </c>
      <c r="AA526" s="173" t="e">
        <f t="shared" si="65"/>
        <v>#N/A</v>
      </c>
      <c r="AC526" s="173" t="s">
        <v>1682</v>
      </c>
      <c r="AD526" s="173">
        <v>587</v>
      </c>
      <c r="AH526" s="173" t="e">
        <f t="shared" si="66"/>
        <v>#N/A</v>
      </c>
      <c r="AS526" s="173" t="e">
        <f t="shared" si="67"/>
        <v>#N/A</v>
      </c>
    </row>
    <row r="527" spans="1:45" s="173" customFormat="1" ht="36" customHeight="1" x14ac:dyDescent="0.9">
      <c r="A527" s="173">
        <v>1</v>
      </c>
      <c r="B527" s="91">
        <f>SUBTOTAL(103,$A$16:A527)</f>
        <v>449</v>
      </c>
      <c r="C527" s="90" t="s">
        <v>1301</v>
      </c>
      <c r="D527" s="185">
        <v>1980</v>
      </c>
      <c r="E527" s="185"/>
      <c r="F527" s="191" t="s">
        <v>273</v>
      </c>
      <c r="G527" s="185">
        <v>2</v>
      </c>
      <c r="H527" s="185">
        <v>3</v>
      </c>
      <c r="I527" s="189">
        <v>952.3</v>
      </c>
      <c r="J527" s="189">
        <v>869.8</v>
      </c>
      <c r="K527" s="189">
        <v>754.7</v>
      </c>
      <c r="L527" s="187">
        <v>47</v>
      </c>
      <c r="M527" s="185" t="s">
        <v>271</v>
      </c>
      <c r="N527" s="185" t="s">
        <v>275</v>
      </c>
      <c r="O527" s="188" t="s">
        <v>1328</v>
      </c>
      <c r="P527" s="189">
        <v>2323778.17</v>
      </c>
      <c r="Q527" s="189">
        <v>0</v>
      </c>
      <c r="R527" s="189">
        <v>0</v>
      </c>
      <c r="S527" s="189">
        <f t="shared" si="73"/>
        <v>2323778.17</v>
      </c>
      <c r="T527" s="189">
        <f t="shared" si="74"/>
        <v>2440.1744933319333</v>
      </c>
      <c r="U527" s="189">
        <v>2753.19</v>
      </c>
      <c r="V527" s="170">
        <f t="shared" si="68"/>
        <v>313.01550666806679</v>
      </c>
      <c r="W527" s="170"/>
      <c r="X527" s="170"/>
      <c r="Y527" s="173" t="e">
        <f t="shared" si="69"/>
        <v>#N/A</v>
      </c>
      <c r="AA527" s="173" t="e">
        <f t="shared" si="65"/>
        <v>#N/A</v>
      </c>
      <c r="AC527" s="173" t="s">
        <v>622</v>
      </c>
      <c r="AD527" s="173">
        <v>952</v>
      </c>
      <c r="AH527" s="173" t="e">
        <f t="shared" si="66"/>
        <v>#N/A</v>
      </c>
      <c r="AS527" s="173" t="e">
        <f t="shared" si="67"/>
        <v>#N/A</v>
      </c>
    </row>
    <row r="528" spans="1:45" s="173" customFormat="1" ht="36" customHeight="1" x14ac:dyDescent="0.9">
      <c r="A528" s="173">
        <v>1</v>
      </c>
      <c r="B528" s="91">
        <f>SUBTOTAL(103,$A$16:A528)</f>
        <v>450</v>
      </c>
      <c r="C528" s="90" t="s">
        <v>1302</v>
      </c>
      <c r="D528" s="185">
        <v>1967</v>
      </c>
      <c r="E528" s="185"/>
      <c r="F528" s="191" t="s">
        <v>273</v>
      </c>
      <c r="G528" s="185">
        <v>2</v>
      </c>
      <c r="H528" s="185">
        <v>2</v>
      </c>
      <c r="I528" s="189">
        <v>783.4</v>
      </c>
      <c r="J528" s="189">
        <v>725.6</v>
      </c>
      <c r="K528" s="189">
        <v>680.1</v>
      </c>
      <c r="L528" s="187">
        <v>35</v>
      </c>
      <c r="M528" s="185" t="s">
        <v>271</v>
      </c>
      <c r="N528" s="185" t="s">
        <v>275</v>
      </c>
      <c r="O528" s="188" t="s">
        <v>1328</v>
      </c>
      <c r="P528" s="189">
        <v>2168498.14</v>
      </c>
      <c r="Q528" s="189">
        <v>0</v>
      </c>
      <c r="R528" s="189">
        <v>0</v>
      </c>
      <c r="S528" s="189">
        <f t="shared" si="73"/>
        <v>2168498.14</v>
      </c>
      <c r="T528" s="189">
        <f t="shared" si="74"/>
        <v>2768.0599183048253</v>
      </c>
      <c r="U528" s="189">
        <v>2768.0599183048253</v>
      </c>
      <c r="V528" s="170">
        <f t="shared" si="68"/>
        <v>0</v>
      </c>
      <c r="W528" s="170"/>
      <c r="X528" s="170"/>
      <c r="Y528" s="173" t="e">
        <f t="shared" si="69"/>
        <v>#N/A</v>
      </c>
      <c r="AA528" s="173" t="e">
        <f t="shared" ref="AA528:AA591" si="75">VLOOKUP(C528,AC:AE,2,FALSE)</f>
        <v>#N/A</v>
      </c>
      <c r="AC528" s="173" t="s">
        <v>1664</v>
      </c>
      <c r="AD528" s="173">
        <v>1626.8</v>
      </c>
      <c r="AH528" s="173" t="e">
        <f t="shared" ref="AH528:AH591" si="76">VLOOKUP(C528,AJ:AK,2,FALSE)</f>
        <v>#N/A</v>
      </c>
      <c r="AS528" s="173" t="e">
        <f t="shared" ref="AS528:AS591" si="77">VLOOKUP(C528,AU:AV,2,FALSE)</f>
        <v>#N/A</v>
      </c>
    </row>
    <row r="529" spans="1:45" s="173" customFormat="1" ht="36" customHeight="1" x14ac:dyDescent="0.9">
      <c r="A529" s="173">
        <v>1</v>
      </c>
      <c r="B529" s="91">
        <f>SUBTOTAL(103,$A$16:A529)</f>
        <v>451</v>
      </c>
      <c r="C529" s="90" t="s">
        <v>1303</v>
      </c>
      <c r="D529" s="185">
        <v>1964</v>
      </c>
      <c r="E529" s="185"/>
      <c r="F529" s="191" t="s">
        <v>273</v>
      </c>
      <c r="G529" s="185">
        <v>2</v>
      </c>
      <c r="H529" s="185">
        <v>4</v>
      </c>
      <c r="I529" s="189">
        <v>1833.6</v>
      </c>
      <c r="J529" s="189">
        <v>1215.3800000000001</v>
      </c>
      <c r="K529" s="189">
        <v>986.3</v>
      </c>
      <c r="L529" s="187">
        <v>109</v>
      </c>
      <c r="M529" s="185" t="s">
        <v>271</v>
      </c>
      <c r="N529" s="185" t="s">
        <v>275</v>
      </c>
      <c r="O529" s="188" t="s">
        <v>1328</v>
      </c>
      <c r="P529" s="189">
        <v>2920505.33</v>
      </c>
      <c r="Q529" s="189">
        <v>0</v>
      </c>
      <c r="R529" s="189">
        <v>0</v>
      </c>
      <c r="S529" s="189">
        <f t="shared" si="73"/>
        <v>2920505.33</v>
      </c>
      <c r="T529" s="189">
        <f t="shared" si="74"/>
        <v>1592.7712314572427</v>
      </c>
      <c r="U529" s="189">
        <v>2753.19</v>
      </c>
      <c r="V529" s="170">
        <f t="shared" si="68"/>
        <v>1160.4187685427573</v>
      </c>
      <c r="W529" s="170"/>
      <c r="X529" s="170"/>
      <c r="Y529" s="173" t="e">
        <f t="shared" si="69"/>
        <v>#N/A</v>
      </c>
      <c r="AA529" s="173" t="e">
        <f t="shared" si="75"/>
        <v>#N/A</v>
      </c>
      <c r="AC529" s="173" t="s">
        <v>623</v>
      </c>
      <c r="AD529" s="173">
        <v>807.01</v>
      </c>
      <c r="AH529" s="173" t="e">
        <f t="shared" si="76"/>
        <v>#N/A</v>
      </c>
      <c r="AS529" s="173" t="e">
        <f t="shared" si="77"/>
        <v>#N/A</v>
      </c>
    </row>
    <row r="530" spans="1:45" s="173" customFormat="1" ht="36" customHeight="1" x14ac:dyDescent="0.9">
      <c r="A530" s="173">
        <v>1</v>
      </c>
      <c r="B530" s="91">
        <f>SUBTOTAL(103,$A$16:A530)</f>
        <v>452</v>
      </c>
      <c r="C530" s="90" t="s">
        <v>1605</v>
      </c>
      <c r="D530" s="185">
        <v>1981</v>
      </c>
      <c r="E530" s="185"/>
      <c r="F530" s="191" t="s">
        <v>1620</v>
      </c>
      <c r="G530" s="185">
        <v>2</v>
      </c>
      <c r="H530" s="185">
        <v>3</v>
      </c>
      <c r="I530" s="189">
        <v>922.9</v>
      </c>
      <c r="J530" s="189">
        <v>838.7</v>
      </c>
      <c r="K530" s="189">
        <f>J530</f>
        <v>838.7</v>
      </c>
      <c r="L530" s="187">
        <v>43</v>
      </c>
      <c r="M530" s="185" t="s">
        <v>271</v>
      </c>
      <c r="N530" s="185" t="s">
        <v>272</v>
      </c>
      <c r="O530" s="188" t="s">
        <v>274</v>
      </c>
      <c r="P530" s="189">
        <v>647690.07999999996</v>
      </c>
      <c r="Q530" s="189">
        <v>0</v>
      </c>
      <c r="R530" s="189">
        <v>0</v>
      </c>
      <c r="S530" s="189">
        <f>P530-R530-Q530</f>
        <v>647690.07999999996</v>
      </c>
      <c r="T530" s="189">
        <f t="shared" si="74"/>
        <v>701.79876476324625</v>
      </c>
      <c r="U530" s="189">
        <v>2753.19</v>
      </c>
      <c r="V530" s="170">
        <f t="shared" si="68"/>
        <v>2051.3912352367538</v>
      </c>
      <c r="W530" s="170"/>
      <c r="X530" s="170"/>
      <c r="Y530" s="173" t="e">
        <f t="shared" si="69"/>
        <v>#N/A</v>
      </c>
      <c r="AA530" s="173" t="e">
        <f t="shared" si="75"/>
        <v>#N/A</v>
      </c>
      <c r="AC530" s="173" t="s">
        <v>624</v>
      </c>
      <c r="AD530" s="173">
        <v>975</v>
      </c>
      <c r="AH530" s="173" t="e">
        <f t="shared" si="76"/>
        <v>#N/A</v>
      </c>
      <c r="AS530" s="173" t="e">
        <f t="shared" si="77"/>
        <v>#N/A</v>
      </c>
    </row>
    <row r="531" spans="1:45" s="173" customFormat="1" ht="36" customHeight="1" x14ac:dyDescent="0.9">
      <c r="A531" s="173">
        <v>1</v>
      </c>
      <c r="B531" s="91">
        <f>SUBTOTAL(103,$A$16:A531)</f>
        <v>453</v>
      </c>
      <c r="C531" s="90" t="s">
        <v>1606</v>
      </c>
      <c r="D531" s="185">
        <v>1980</v>
      </c>
      <c r="E531" s="185"/>
      <c r="F531" s="191" t="s">
        <v>1620</v>
      </c>
      <c r="G531" s="185">
        <v>2</v>
      </c>
      <c r="H531" s="185">
        <v>3</v>
      </c>
      <c r="I531" s="189">
        <v>1035.4000000000001</v>
      </c>
      <c r="J531" s="189">
        <v>947.5</v>
      </c>
      <c r="K531" s="189">
        <f>J531-152.1</f>
        <v>795.4</v>
      </c>
      <c r="L531" s="187">
        <v>35</v>
      </c>
      <c r="M531" s="185" t="s">
        <v>271</v>
      </c>
      <c r="N531" s="185" t="s">
        <v>272</v>
      </c>
      <c r="O531" s="188" t="s">
        <v>274</v>
      </c>
      <c r="P531" s="189">
        <v>737597.92999999993</v>
      </c>
      <c r="Q531" s="189">
        <v>0</v>
      </c>
      <c r="R531" s="189">
        <v>0</v>
      </c>
      <c r="S531" s="189">
        <f>P531-R531-Q531</f>
        <v>737597.92999999993</v>
      </c>
      <c r="T531" s="189">
        <f t="shared" si="74"/>
        <v>712.37968900907845</v>
      </c>
      <c r="U531" s="189">
        <v>2753.19</v>
      </c>
      <c r="V531" s="170">
        <f t="shared" ref="V531:V594" si="78">U531-T531</f>
        <v>2040.8103109909216</v>
      </c>
      <c r="W531" s="170"/>
      <c r="X531" s="170"/>
      <c r="Y531" s="173" t="e">
        <f t="shared" ref="Y531:Y594" si="79">AA531*5221.8/I531</f>
        <v>#N/A</v>
      </c>
      <c r="AA531" s="173" t="e">
        <f t="shared" si="75"/>
        <v>#N/A</v>
      </c>
      <c r="AC531" s="173" t="s">
        <v>625</v>
      </c>
      <c r="AD531" s="173">
        <v>771.25</v>
      </c>
      <c r="AH531" s="173" t="e">
        <f t="shared" si="76"/>
        <v>#N/A</v>
      </c>
      <c r="AS531" s="173" t="e">
        <f t="shared" si="77"/>
        <v>#N/A</v>
      </c>
    </row>
    <row r="532" spans="1:45" s="173" customFormat="1" ht="36" customHeight="1" x14ac:dyDescent="0.9">
      <c r="B532" s="90" t="s">
        <v>888</v>
      </c>
      <c r="C532" s="90"/>
      <c r="D532" s="185" t="s">
        <v>915</v>
      </c>
      <c r="E532" s="185" t="s">
        <v>915</v>
      </c>
      <c r="F532" s="185" t="s">
        <v>915</v>
      </c>
      <c r="G532" s="185" t="s">
        <v>915</v>
      </c>
      <c r="H532" s="185" t="s">
        <v>915</v>
      </c>
      <c r="I532" s="186">
        <f>SUM(I533:I537)</f>
        <v>3295.2</v>
      </c>
      <c r="J532" s="186">
        <f>SUM(J533:J537)</f>
        <v>2918.8999999999996</v>
      </c>
      <c r="K532" s="186">
        <f>SUM(K533:K537)</f>
        <v>2901.2</v>
      </c>
      <c r="L532" s="187">
        <f>SUM(L533:L537)</f>
        <v>81</v>
      </c>
      <c r="M532" s="185" t="s">
        <v>915</v>
      </c>
      <c r="N532" s="185" t="s">
        <v>915</v>
      </c>
      <c r="O532" s="188" t="s">
        <v>915</v>
      </c>
      <c r="P532" s="189">
        <v>7943688.4699999988</v>
      </c>
      <c r="Q532" s="189">
        <f>SUM(Q533:Q537)</f>
        <v>0</v>
      </c>
      <c r="R532" s="189">
        <f>SUM(R533:R537)</f>
        <v>0</v>
      </c>
      <c r="S532" s="189">
        <f>SUM(S533:S537)</f>
        <v>7943688.4699999988</v>
      </c>
      <c r="T532" s="189">
        <f t="shared" si="74"/>
        <v>2410.6847748239861</v>
      </c>
      <c r="U532" s="189">
        <f>MAX(U533:U537)</f>
        <v>4087.9098591549291</v>
      </c>
      <c r="V532" s="170">
        <f t="shared" si="78"/>
        <v>1677.225084330943</v>
      </c>
      <c r="W532" s="170"/>
      <c r="X532" s="170"/>
      <c r="Y532" s="173" t="e">
        <f t="shared" si="79"/>
        <v>#N/A</v>
      </c>
      <c r="AA532" s="173" t="e">
        <f t="shared" si="75"/>
        <v>#N/A</v>
      </c>
      <c r="AC532" s="173" t="s">
        <v>626</v>
      </c>
      <c r="AD532" s="173">
        <v>963.75</v>
      </c>
      <c r="AH532" s="173" t="e">
        <f t="shared" si="76"/>
        <v>#N/A</v>
      </c>
      <c r="AS532" s="173" t="e">
        <f t="shared" si="77"/>
        <v>#N/A</v>
      </c>
    </row>
    <row r="533" spans="1:45" s="173" customFormat="1" ht="36" customHeight="1" x14ac:dyDescent="0.9">
      <c r="A533" s="173">
        <v>1</v>
      </c>
      <c r="B533" s="91">
        <f>SUBTOTAL(103,$A$16:A533)</f>
        <v>454</v>
      </c>
      <c r="C533" s="90" t="s">
        <v>224</v>
      </c>
      <c r="D533" s="185">
        <v>1973</v>
      </c>
      <c r="E533" s="185"/>
      <c r="F533" s="191" t="s">
        <v>273</v>
      </c>
      <c r="G533" s="185">
        <v>2</v>
      </c>
      <c r="H533" s="185">
        <v>2</v>
      </c>
      <c r="I533" s="189">
        <v>775.5</v>
      </c>
      <c r="J533" s="189">
        <v>715.8</v>
      </c>
      <c r="K533" s="189">
        <v>715.8</v>
      </c>
      <c r="L533" s="187">
        <v>16</v>
      </c>
      <c r="M533" s="185" t="s">
        <v>271</v>
      </c>
      <c r="N533" s="185" t="s">
        <v>275</v>
      </c>
      <c r="O533" s="188" t="s">
        <v>340</v>
      </c>
      <c r="P533" s="189">
        <v>197289.33999999997</v>
      </c>
      <c r="Q533" s="189">
        <v>0</v>
      </c>
      <c r="R533" s="189">
        <v>0</v>
      </c>
      <c r="S533" s="189">
        <f>P533-Q533-R533</f>
        <v>197289.33999999997</v>
      </c>
      <c r="T533" s="189">
        <f t="shared" si="74"/>
        <v>254.4027595099935</v>
      </c>
      <c r="U533" s="189">
        <v>254.40275950999356</v>
      </c>
      <c r="V533" s="170">
        <f t="shared" si="78"/>
        <v>0</v>
      </c>
      <c r="W533" s="170"/>
      <c r="X533" s="170"/>
      <c r="Y533" s="173" t="e">
        <f t="shared" si="79"/>
        <v>#N/A</v>
      </c>
      <c r="AA533" s="173" t="e">
        <f t="shared" si="75"/>
        <v>#N/A</v>
      </c>
      <c r="AC533" s="173" t="s">
        <v>477</v>
      </c>
      <c r="AD533" s="173">
        <v>648.4</v>
      </c>
      <c r="AH533" s="173" t="e">
        <f t="shared" si="76"/>
        <v>#N/A</v>
      </c>
      <c r="AS533" s="173" t="e">
        <f t="shared" si="77"/>
        <v>#N/A</v>
      </c>
    </row>
    <row r="534" spans="1:45" s="173" customFormat="1" ht="36" customHeight="1" x14ac:dyDescent="0.9">
      <c r="A534" s="173">
        <v>1</v>
      </c>
      <c r="B534" s="91">
        <f>SUBTOTAL(103,$A$16:A534)</f>
        <v>455</v>
      </c>
      <c r="C534" s="90" t="s">
        <v>225</v>
      </c>
      <c r="D534" s="185">
        <v>1971</v>
      </c>
      <c r="E534" s="185"/>
      <c r="F534" s="191" t="s">
        <v>273</v>
      </c>
      <c r="G534" s="185">
        <v>2</v>
      </c>
      <c r="H534" s="185">
        <v>2</v>
      </c>
      <c r="I534" s="189">
        <v>777</v>
      </c>
      <c r="J534" s="189">
        <v>718.1</v>
      </c>
      <c r="K534" s="189">
        <v>718.1</v>
      </c>
      <c r="L534" s="187">
        <v>16</v>
      </c>
      <c r="M534" s="185" t="s">
        <v>271</v>
      </c>
      <c r="N534" s="185" t="s">
        <v>275</v>
      </c>
      <c r="O534" s="188" t="s">
        <v>340</v>
      </c>
      <c r="P534" s="189">
        <v>2428621.89</v>
      </c>
      <c r="Q534" s="189">
        <v>0</v>
      </c>
      <c r="R534" s="189">
        <v>0</v>
      </c>
      <c r="S534" s="189">
        <f>P534-Q534-R534</f>
        <v>2428621.89</v>
      </c>
      <c r="T534" s="189">
        <f t="shared" si="74"/>
        <v>3125.6394980694981</v>
      </c>
      <c r="U534" s="189">
        <f>T534</f>
        <v>3125.6394980694981</v>
      </c>
      <c r="V534" s="170">
        <f t="shared" si="78"/>
        <v>0</v>
      </c>
      <c r="W534" s="170"/>
      <c r="X534" s="170"/>
      <c r="Y534" s="173">
        <f t="shared" si="79"/>
        <v>4134.4290347490351</v>
      </c>
      <c r="AA534" s="173">
        <f t="shared" si="75"/>
        <v>615.20000000000005</v>
      </c>
      <c r="AC534" s="173" t="s">
        <v>478</v>
      </c>
      <c r="AD534" s="173">
        <v>547</v>
      </c>
      <c r="AH534" s="173" t="e">
        <f t="shared" si="76"/>
        <v>#N/A</v>
      </c>
      <c r="AS534" s="173" t="e">
        <f t="shared" si="77"/>
        <v>#N/A</v>
      </c>
    </row>
    <row r="535" spans="1:45" s="173" customFormat="1" ht="36" customHeight="1" x14ac:dyDescent="0.9">
      <c r="A535" s="173">
        <v>1</v>
      </c>
      <c r="B535" s="91">
        <f>SUBTOTAL(103,$A$16:A535)</f>
        <v>456</v>
      </c>
      <c r="C535" s="90" t="s">
        <v>230</v>
      </c>
      <c r="D535" s="185">
        <v>1978</v>
      </c>
      <c r="E535" s="185"/>
      <c r="F535" s="191" t="s">
        <v>319</v>
      </c>
      <c r="G535" s="185">
        <v>3</v>
      </c>
      <c r="H535" s="185">
        <v>2</v>
      </c>
      <c r="I535" s="189">
        <v>1015.3</v>
      </c>
      <c r="J535" s="189">
        <v>929.3</v>
      </c>
      <c r="K535" s="189">
        <v>929.3</v>
      </c>
      <c r="L535" s="187">
        <v>18</v>
      </c>
      <c r="M535" s="185" t="s">
        <v>271</v>
      </c>
      <c r="N535" s="185" t="s">
        <v>275</v>
      </c>
      <c r="O535" s="188" t="s">
        <v>340</v>
      </c>
      <c r="P535" s="189">
        <v>3498950.9099999997</v>
      </c>
      <c r="Q535" s="189">
        <v>0</v>
      </c>
      <c r="R535" s="189">
        <v>0</v>
      </c>
      <c r="S535" s="189">
        <f>P535-Q535-R535</f>
        <v>3498950.9099999997</v>
      </c>
      <c r="T535" s="189">
        <f t="shared" si="74"/>
        <v>3446.2236875800254</v>
      </c>
      <c r="U535" s="189">
        <v>3446.2236875800254</v>
      </c>
      <c r="V535" s="170">
        <f t="shared" si="78"/>
        <v>0</v>
      </c>
      <c r="W535" s="170"/>
      <c r="X535" s="170"/>
      <c r="Y535" s="173" t="e">
        <f t="shared" si="79"/>
        <v>#N/A</v>
      </c>
      <c r="AA535" s="173" t="e">
        <f t="shared" si="75"/>
        <v>#N/A</v>
      </c>
      <c r="AC535" s="173" t="s">
        <v>479</v>
      </c>
      <c r="AD535" s="173">
        <v>493.2</v>
      </c>
      <c r="AH535" s="173" t="e">
        <f t="shared" si="76"/>
        <v>#N/A</v>
      </c>
      <c r="AS535" s="173" t="e">
        <f t="shared" si="77"/>
        <v>#N/A</v>
      </c>
    </row>
    <row r="536" spans="1:45" s="173" customFormat="1" ht="36" customHeight="1" x14ac:dyDescent="0.9">
      <c r="A536" s="173">
        <v>1</v>
      </c>
      <c r="B536" s="91">
        <f>SUBTOTAL(103,$A$16:A536)</f>
        <v>457</v>
      </c>
      <c r="C536" s="90" t="s">
        <v>1118</v>
      </c>
      <c r="D536" s="185">
        <v>1938</v>
      </c>
      <c r="E536" s="185"/>
      <c r="F536" s="191" t="s">
        <v>338</v>
      </c>
      <c r="G536" s="185">
        <v>2</v>
      </c>
      <c r="H536" s="185">
        <v>1</v>
      </c>
      <c r="I536" s="189">
        <v>369.2</v>
      </c>
      <c r="J536" s="189">
        <v>222.5</v>
      </c>
      <c r="K536" s="189">
        <v>204.8</v>
      </c>
      <c r="L536" s="187">
        <v>16</v>
      </c>
      <c r="M536" s="185" t="s">
        <v>271</v>
      </c>
      <c r="N536" s="185" t="s">
        <v>272</v>
      </c>
      <c r="O536" s="188" t="s">
        <v>274</v>
      </c>
      <c r="P536" s="189">
        <v>1509256.3199999998</v>
      </c>
      <c r="Q536" s="189">
        <v>0</v>
      </c>
      <c r="R536" s="189">
        <v>0</v>
      </c>
      <c r="S536" s="189">
        <f>P536-Q536-R536</f>
        <v>1509256.3199999998</v>
      </c>
      <c r="T536" s="189">
        <f t="shared" si="74"/>
        <v>4087.9098591549291</v>
      </c>
      <c r="U536" s="189">
        <f>T536</f>
        <v>4087.9098591549291</v>
      </c>
      <c r="V536" s="170">
        <f t="shared" si="78"/>
        <v>0</v>
      </c>
      <c r="W536" s="170"/>
      <c r="X536" s="170"/>
      <c r="Y536" s="173">
        <f t="shared" si="79"/>
        <v>3394.4528710725895</v>
      </c>
      <c r="AA536" s="173">
        <f t="shared" si="75"/>
        <v>240</v>
      </c>
      <c r="AC536" s="173" t="s">
        <v>480</v>
      </c>
      <c r="AD536" s="173">
        <v>1130</v>
      </c>
      <c r="AH536" s="173" t="e">
        <f t="shared" si="76"/>
        <v>#N/A</v>
      </c>
      <c r="AS536" s="173" t="e">
        <f t="shared" si="77"/>
        <v>#N/A</v>
      </c>
    </row>
    <row r="537" spans="1:45" s="173" customFormat="1" ht="36" customHeight="1" x14ac:dyDescent="0.9">
      <c r="A537" s="173">
        <v>1</v>
      </c>
      <c r="B537" s="91">
        <f>SUBTOTAL(103,$A$16:A537)</f>
        <v>458</v>
      </c>
      <c r="C537" s="90" t="s">
        <v>1304</v>
      </c>
      <c r="D537" s="185">
        <v>1970</v>
      </c>
      <c r="E537" s="185"/>
      <c r="F537" s="191" t="s">
        <v>273</v>
      </c>
      <c r="G537" s="185">
        <v>2</v>
      </c>
      <c r="H537" s="185">
        <v>1</v>
      </c>
      <c r="I537" s="189">
        <v>358.2</v>
      </c>
      <c r="J537" s="189">
        <v>333.2</v>
      </c>
      <c r="K537" s="189">
        <v>333.2</v>
      </c>
      <c r="L537" s="187">
        <v>15</v>
      </c>
      <c r="M537" s="185" t="s">
        <v>271</v>
      </c>
      <c r="N537" s="185" t="s">
        <v>275</v>
      </c>
      <c r="O537" s="188" t="s">
        <v>1378</v>
      </c>
      <c r="P537" s="189">
        <v>309570.01</v>
      </c>
      <c r="Q537" s="189">
        <v>0</v>
      </c>
      <c r="R537" s="189">
        <v>0</v>
      </c>
      <c r="S537" s="189">
        <f>P537-Q537-R537</f>
        <v>309570.01</v>
      </c>
      <c r="T537" s="189">
        <f t="shared" si="74"/>
        <v>864.23788386376327</v>
      </c>
      <c r="U537" s="189">
        <v>864.23788386376327</v>
      </c>
      <c r="V537" s="170">
        <f t="shared" si="78"/>
        <v>0</v>
      </c>
      <c r="W537" s="170"/>
      <c r="X537" s="170"/>
      <c r="Y537" s="173" t="e">
        <f t="shared" si="79"/>
        <v>#N/A</v>
      </c>
      <c r="AA537" s="173" t="e">
        <f t="shared" si="75"/>
        <v>#N/A</v>
      </c>
      <c r="AC537" s="173" t="s">
        <v>481</v>
      </c>
      <c r="AD537" s="173">
        <v>864</v>
      </c>
      <c r="AH537" s="173" t="e">
        <f t="shared" si="76"/>
        <v>#N/A</v>
      </c>
      <c r="AS537" s="173" t="e">
        <f t="shared" si="77"/>
        <v>#N/A</v>
      </c>
    </row>
    <row r="538" spans="1:45" s="173" customFormat="1" ht="36" customHeight="1" x14ac:dyDescent="0.9">
      <c r="B538" s="90" t="s">
        <v>889</v>
      </c>
      <c r="C538" s="90"/>
      <c r="D538" s="185" t="s">
        <v>915</v>
      </c>
      <c r="E538" s="185" t="s">
        <v>915</v>
      </c>
      <c r="F538" s="185" t="s">
        <v>915</v>
      </c>
      <c r="G538" s="185" t="s">
        <v>915</v>
      </c>
      <c r="H538" s="185" t="s">
        <v>915</v>
      </c>
      <c r="I538" s="186">
        <f>SUM(I539:I541)</f>
        <v>1634.9</v>
      </c>
      <c r="J538" s="186">
        <f>SUM(J539:J541)</f>
        <v>1609.9</v>
      </c>
      <c r="K538" s="186">
        <f>SUM(K539:K541)</f>
        <v>1149.7</v>
      </c>
      <c r="L538" s="187">
        <f>SUM(L539:L541)</f>
        <v>75</v>
      </c>
      <c r="M538" s="185" t="s">
        <v>915</v>
      </c>
      <c r="N538" s="185" t="s">
        <v>915</v>
      </c>
      <c r="O538" s="188" t="s">
        <v>915</v>
      </c>
      <c r="P538" s="189">
        <v>917252.46000000008</v>
      </c>
      <c r="Q538" s="189">
        <f>Q539+Q540+Q541</f>
        <v>0</v>
      </c>
      <c r="R538" s="189">
        <f>R539+R540+R541</f>
        <v>0</v>
      </c>
      <c r="S538" s="189">
        <f>S539+S540+S541</f>
        <v>917252.46000000008</v>
      </c>
      <c r="T538" s="189">
        <f t="shared" si="74"/>
        <v>561.04499357758891</v>
      </c>
      <c r="U538" s="189">
        <f>MAX(U539:U541)</f>
        <v>1715.5844675740593</v>
      </c>
      <c r="V538" s="170">
        <f t="shared" si="78"/>
        <v>1154.5394739964704</v>
      </c>
      <c r="W538" s="170"/>
      <c r="X538" s="170"/>
      <c r="Y538" s="173" t="e">
        <f t="shared" si="79"/>
        <v>#N/A</v>
      </c>
      <c r="AA538" s="173" t="e">
        <f t="shared" si="75"/>
        <v>#N/A</v>
      </c>
      <c r="AC538" s="173" t="s">
        <v>483</v>
      </c>
      <c r="AD538" s="173">
        <v>624.26</v>
      </c>
      <c r="AH538" s="173" t="e">
        <f t="shared" si="76"/>
        <v>#N/A</v>
      </c>
      <c r="AS538" s="173" t="e">
        <f t="shared" si="77"/>
        <v>#N/A</v>
      </c>
    </row>
    <row r="539" spans="1:45" s="173" customFormat="1" ht="36" customHeight="1" x14ac:dyDescent="0.9">
      <c r="A539" s="173">
        <v>1</v>
      </c>
      <c r="B539" s="91">
        <f>SUBTOTAL(103,$A$16:A539)</f>
        <v>459</v>
      </c>
      <c r="C539" s="90" t="s">
        <v>228</v>
      </c>
      <c r="D539" s="185">
        <v>1962</v>
      </c>
      <c r="E539" s="185"/>
      <c r="F539" s="191" t="s">
        <v>273</v>
      </c>
      <c r="G539" s="185">
        <v>2</v>
      </c>
      <c r="H539" s="185">
        <v>1</v>
      </c>
      <c r="I539" s="189">
        <v>212.1</v>
      </c>
      <c r="J539" s="189">
        <v>187.1</v>
      </c>
      <c r="K539" s="189">
        <v>187.1</v>
      </c>
      <c r="L539" s="187">
        <v>11</v>
      </c>
      <c r="M539" s="185" t="s">
        <v>271</v>
      </c>
      <c r="N539" s="185" t="s">
        <v>272</v>
      </c>
      <c r="O539" s="188" t="s">
        <v>274</v>
      </c>
      <c r="P539" s="189">
        <v>76999.33</v>
      </c>
      <c r="Q539" s="189">
        <v>0</v>
      </c>
      <c r="R539" s="189">
        <v>0</v>
      </c>
      <c r="S539" s="189">
        <f>P539-Q539-R539</f>
        <v>76999.33</v>
      </c>
      <c r="T539" s="189">
        <f t="shared" si="74"/>
        <v>363.03314474304574</v>
      </c>
      <c r="U539" s="189">
        <v>1045.9809523809524</v>
      </c>
      <c r="V539" s="170">
        <f t="shared" si="78"/>
        <v>682.94780763790664</v>
      </c>
      <c r="W539" s="170"/>
      <c r="X539" s="170"/>
      <c r="Y539" s="173" t="e">
        <f t="shared" si="79"/>
        <v>#N/A</v>
      </c>
      <c r="AA539" s="173" t="e">
        <f t="shared" si="75"/>
        <v>#N/A</v>
      </c>
      <c r="AC539" s="173" t="s">
        <v>484</v>
      </c>
      <c r="AD539" s="173">
        <v>526.79999999999995</v>
      </c>
      <c r="AH539" s="173" t="e">
        <f t="shared" si="76"/>
        <v>#N/A</v>
      </c>
      <c r="AS539" s="173" t="e">
        <f t="shared" si="77"/>
        <v>#N/A</v>
      </c>
    </row>
    <row r="540" spans="1:45" s="173" customFormat="1" ht="36" customHeight="1" x14ac:dyDescent="0.9">
      <c r="A540" s="173">
        <v>1</v>
      </c>
      <c r="B540" s="91">
        <f>SUBTOTAL(103,$A$16:A540)</f>
        <v>460</v>
      </c>
      <c r="C540" s="90" t="s">
        <v>1316</v>
      </c>
      <c r="D540" s="185">
        <v>1976</v>
      </c>
      <c r="E540" s="185"/>
      <c r="F540" s="191" t="s">
        <v>273</v>
      </c>
      <c r="G540" s="185">
        <v>2</v>
      </c>
      <c r="H540" s="185">
        <v>2</v>
      </c>
      <c r="I540" s="189">
        <v>798.3</v>
      </c>
      <c r="J540" s="189">
        <v>798.3</v>
      </c>
      <c r="K540" s="189">
        <v>587.79999999999995</v>
      </c>
      <c r="L540" s="187">
        <v>32</v>
      </c>
      <c r="M540" s="185" t="s">
        <v>271</v>
      </c>
      <c r="N540" s="185" t="s">
        <v>272</v>
      </c>
      <c r="O540" s="188" t="s">
        <v>274</v>
      </c>
      <c r="P540" s="189">
        <v>365968</v>
      </c>
      <c r="Q540" s="189">
        <v>0</v>
      </c>
      <c r="R540" s="189">
        <v>0</v>
      </c>
      <c r="S540" s="189">
        <f>P540-Q540-R540</f>
        <v>365968</v>
      </c>
      <c r="T540" s="189">
        <f t="shared" si="74"/>
        <v>458.43417261681077</v>
      </c>
      <c r="U540" s="189">
        <f>AG540</f>
        <v>845.35282475259942</v>
      </c>
      <c r="V540" s="170">
        <f t="shared" si="78"/>
        <v>386.91865213578865</v>
      </c>
      <c r="W540" s="170"/>
      <c r="X540" s="170"/>
      <c r="Y540" s="173" t="e">
        <f t="shared" si="79"/>
        <v>#N/A</v>
      </c>
      <c r="AA540" s="173" t="e">
        <f t="shared" si="75"/>
        <v>#N/A</v>
      </c>
      <c r="AC540" s="173" t="s">
        <v>485</v>
      </c>
      <c r="AD540" s="173">
        <v>624.26</v>
      </c>
      <c r="AG540" s="173">
        <f>AH540*6191.24/J540</f>
        <v>845.35282475259942</v>
      </c>
      <c r="AH540" s="173">
        <f t="shared" si="76"/>
        <v>109</v>
      </c>
      <c r="AS540" s="173" t="e">
        <f t="shared" si="77"/>
        <v>#N/A</v>
      </c>
    </row>
    <row r="541" spans="1:45" s="173" customFormat="1" ht="36" customHeight="1" x14ac:dyDescent="0.9">
      <c r="A541" s="173">
        <v>1</v>
      </c>
      <c r="B541" s="91">
        <f>SUBTOTAL(103,$A$16:A541)</f>
        <v>461</v>
      </c>
      <c r="C541" s="90" t="s">
        <v>1317</v>
      </c>
      <c r="D541" s="185">
        <v>1986</v>
      </c>
      <c r="E541" s="185"/>
      <c r="F541" s="191" t="s">
        <v>326</v>
      </c>
      <c r="G541" s="185">
        <v>2</v>
      </c>
      <c r="H541" s="185">
        <v>2</v>
      </c>
      <c r="I541" s="189">
        <v>624.5</v>
      </c>
      <c r="J541" s="189">
        <v>624.5</v>
      </c>
      <c r="K541" s="189">
        <v>374.8</v>
      </c>
      <c r="L541" s="187">
        <v>32</v>
      </c>
      <c r="M541" s="185" t="s">
        <v>271</v>
      </c>
      <c r="N541" s="185" t="s">
        <v>272</v>
      </c>
      <c r="O541" s="188" t="s">
        <v>274</v>
      </c>
      <c r="P541" s="189">
        <v>474285.13000000006</v>
      </c>
      <c r="Q541" s="189">
        <v>0</v>
      </c>
      <c r="R541" s="189">
        <v>0</v>
      </c>
      <c r="S541" s="189">
        <f>P541-Q541-R541</f>
        <v>474285.13000000006</v>
      </c>
      <c r="T541" s="189">
        <f t="shared" si="74"/>
        <v>759.46377902321865</v>
      </c>
      <c r="U541" s="189">
        <v>1715.5844675740593</v>
      </c>
      <c r="V541" s="170">
        <f t="shared" si="78"/>
        <v>956.12068855084067</v>
      </c>
      <c r="W541" s="170"/>
      <c r="X541" s="170"/>
      <c r="Y541" s="173" t="e">
        <f t="shared" si="79"/>
        <v>#N/A</v>
      </c>
      <c r="AA541" s="173" t="e">
        <f t="shared" si="75"/>
        <v>#N/A</v>
      </c>
      <c r="AC541" s="173" t="s">
        <v>486</v>
      </c>
      <c r="AD541" s="173">
        <v>544.85</v>
      </c>
      <c r="AH541" s="173" t="e">
        <f t="shared" si="76"/>
        <v>#N/A</v>
      </c>
      <c r="AS541" s="173" t="e">
        <f t="shared" si="77"/>
        <v>#N/A</v>
      </c>
    </row>
    <row r="542" spans="1:45" s="173" customFormat="1" ht="36" customHeight="1" x14ac:dyDescent="0.9">
      <c r="B542" s="90" t="s">
        <v>890</v>
      </c>
      <c r="C542" s="90"/>
      <c r="D542" s="185" t="s">
        <v>915</v>
      </c>
      <c r="E542" s="185" t="s">
        <v>915</v>
      </c>
      <c r="F542" s="185" t="s">
        <v>915</v>
      </c>
      <c r="G542" s="185" t="s">
        <v>915</v>
      </c>
      <c r="H542" s="185" t="s">
        <v>915</v>
      </c>
      <c r="I542" s="186">
        <f>I543</f>
        <v>317.39999999999998</v>
      </c>
      <c r="J542" s="186">
        <f>J543</f>
        <v>287.2</v>
      </c>
      <c r="K542" s="186">
        <f>K543</f>
        <v>212.6</v>
      </c>
      <c r="L542" s="187">
        <f>L543</f>
        <v>17</v>
      </c>
      <c r="M542" s="185" t="s">
        <v>915</v>
      </c>
      <c r="N542" s="185" t="s">
        <v>915</v>
      </c>
      <c r="O542" s="188" t="s">
        <v>915</v>
      </c>
      <c r="P542" s="189">
        <v>1455782.0000000002</v>
      </c>
      <c r="Q542" s="189">
        <f>Q543</f>
        <v>0</v>
      </c>
      <c r="R542" s="189">
        <f>R543</f>
        <v>0</v>
      </c>
      <c r="S542" s="189">
        <f>S543</f>
        <v>1455782.0000000002</v>
      </c>
      <c r="T542" s="189">
        <f t="shared" si="74"/>
        <v>4586.5847511027105</v>
      </c>
      <c r="U542" s="189">
        <f>U543</f>
        <v>4768.7175425330815</v>
      </c>
      <c r="V542" s="170">
        <f t="shared" si="78"/>
        <v>182.13279143037107</v>
      </c>
      <c r="W542" s="170"/>
      <c r="X542" s="170"/>
      <c r="Y542" s="173" t="e">
        <f t="shared" si="79"/>
        <v>#N/A</v>
      </c>
      <c r="AA542" s="173" t="e">
        <f t="shared" si="75"/>
        <v>#N/A</v>
      </c>
      <c r="AC542" s="173" t="s">
        <v>487</v>
      </c>
      <c r="AD542" s="173">
        <v>510</v>
      </c>
      <c r="AH542" s="173" t="e">
        <f t="shared" si="76"/>
        <v>#N/A</v>
      </c>
      <c r="AS542" s="173" t="e">
        <f t="shared" si="77"/>
        <v>#N/A</v>
      </c>
    </row>
    <row r="543" spans="1:45" s="173" customFormat="1" ht="36" customHeight="1" x14ac:dyDescent="0.9">
      <c r="A543" s="173">
        <v>1</v>
      </c>
      <c r="B543" s="91">
        <f>SUBTOTAL(103,$A$16:A543)</f>
        <v>462</v>
      </c>
      <c r="C543" s="90" t="s">
        <v>227</v>
      </c>
      <c r="D543" s="185">
        <v>1966</v>
      </c>
      <c r="E543" s="185"/>
      <c r="F543" s="191" t="s">
        <v>273</v>
      </c>
      <c r="G543" s="185">
        <v>2</v>
      </c>
      <c r="H543" s="185">
        <v>1</v>
      </c>
      <c r="I543" s="189">
        <v>317.39999999999998</v>
      </c>
      <c r="J543" s="189">
        <v>287.2</v>
      </c>
      <c r="K543" s="189">
        <v>212.6</v>
      </c>
      <c r="L543" s="187">
        <v>17</v>
      </c>
      <c r="M543" s="185" t="s">
        <v>271</v>
      </c>
      <c r="N543" s="185" t="s">
        <v>272</v>
      </c>
      <c r="O543" s="188" t="s">
        <v>274</v>
      </c>
      <c r="P543" s="189">
        <v>1455782.0000000002</v>
      </c>
      <c r="Q543" s="189">
        <v>0</v>
      </c>
      <c r="R543" s="189">
        <v>0</v>
      </c>
      <c r="S543" s="189">
        <f>P543-Q543-R543</f>
        <v>1455782.0000000002</v>
      </c>
      <c r="T543" s="189">
        <f t="shared" si="74"/>
        <v>4586.5847511027105</v>
      </c>
      <c r="U543" s="189">
        <f>Y543</f>
        <v>4768.7175425330815</v>
      </c>
      <c r="V543" s="170">
        <f t="shared" si="78"/>
        <v>182.13279143037107</v>
      </c>
      <c r="W543" s="170"/>
      <c r="X543" s="170"/>
      <c r="Y543" s="173">
        <f t="shared" si="79"/>
        <v>4768.7175425330815</v>
      </c>
      <c r="AA543" s="173">
        <f t="shared" si="75"/>
        <v>289.86</v>
      </c>
      <c r="AC543" s="173" t="s">
        <v>488</v>
      </c>
      <c r="AD543" s="173">
        <v>547</v>
      </c>
      <c r="AH543" s="173" t="e">
        <f t="shared" si="76"/>
        <v>#N/A</v>
      </c>
      <c r="AS543" s="173" t="e">
        <f t="shared" si="77"/>
        <v>#N/A</v>
      </c>
    </row>
    <row r="544" spans="1:45" s="173" customFormat="1" ht="36" customHeight="1" x14ac:dyDescent="0.9">
      <c r="B544" s="90" t="s">
        <v>779</v>
      </c>
      <c r="C544" s="90"/>
      <c r="D544" s="185" t="s">
        <v>915</v>
      </c>
      <c r="E544" s="185" t="s">
        <v>915</v>
      </c>
      <c r="F544" s="185" t="s">
        <v>915</v>
      </c>
      <c r="G544" s="185" t="s">
        <v>915</v>
      </c>
      <c r="H544" s="185" t="s">
        <v>915</v>
      </c>
      <c r="I544" s="186">
        <f>I545+I678+I697+I759+I782+I786+I805+I808+I813+I816+I818+I821+I823+I825+I832+I838+I840+I842+I844+I846+I848+I850+I852+I861+I863+I866+I868+I870+I876+I879+I881+I883+I885+I887+I889+I893+I895+I902+I899+I904+I910+I913+I920+I922+I924+I926+I928+I932+I936+I938+I940+I942+I946+I948+I951+I953+I891+I915</f>
        <v>863114.3400000002</v>
      </c>
      <c r="J544" s="186">
        <f t="shared" ref="J544:L544" si="80">J545+J678+J697+J759+J782+J786+J805+J808+J813+J816+J818+J821+J823+J825+J832+J838+J840+J842+J844+J846+J848+J850+J852+J861+J863+J866+J868+J870+J876+J879+J881+J883+J885+J887+J889+J893+J895+J902+J899+J904+J910+J913+J920+J922+J924+J926+J928+J932+J936+J938+J940+J942+J946+J948+J951+J953+J891+J915</f>
        <v>725288.46000000008</v>
      </c>
      <c r="K544" s="186">
        <f t="shared" si="80"/>
        <v>628057.25000000058</v>
      </c>
      <c r="L544" s="187">
        <f t="shared" si="80"/>
        <v>34009.19</v>
      </c>
      <c r="M544" s="185" t="s">
        <v>915</v>
      </c>
      <c r="N544" s="185" t="s">
        <v>915</v>
      </c>
      <c r="O544" s="188" t="s">
        <v>915</v>
      </c>
      <c r="P544" s="186">
        <v>957770537.6500001</v>
      </c>
      <c r="Q544" s="186">
        <f t="shared" ref="Q544:S544" si="81">Q545+Q678+Q697+Q759+Q782+Q786+Q805+Q808+Q813+Q816+Q818+Q821+Q823+Q825+Q832+Q838+Q840+Q842+Q844+Q846+Q848+Q850+Q852+Q861+Q863+Q866+Q868+Q870+Q876+Q879+Q881+Q883+Q885+Q887+Q889+Q893+Q895+Q902+Q899+Q904+Q910+Q913+Q920+Q922+Q924+Q926+Q928+Q932+Q936+Q938+Q940+Q942+Q946+Q948+Q951+Q953+Q891+Q915</f>
        <v>0</v>
      </c>
      <c r="R544" s="186">
        <f t="shared" si="81"/>
        <v>2523423.19</v>
      </c>
      <c r="S544" s="186">
        <f t="shared" si="81"/>
        <v>955247114.46000016</v>
      </c>
      <c r="T544" s="189">
        <f t="shared" si="74"/>
        <v>1109.6682018398626</v>
      </c>
      <c r="U544" s="189">
        <f>MAX(U545:U954)</f>
        <v>29658.561655716163</v>
      </c>
      <c r="V544" s="170">
        <f t="shared" si="78"/>
        <v>28548.893453876299</v>
      </c>
      <c r="W544" s="170"/>
      <c r="X544" s="170"/>
      <c r="Y544" s="173" t="e">
        <f t="shared" si="79"/>
        <v>#N/A</v>
      </c>
      <c r="AA544" s="173" t="e">
        <f t="shared" si="75"/>
        <v>#N/A</v>
      </c>
      <c r="AC544" s="173" t="s">
        <v>489</v>
      </c>
      <c r="AD544" s="173">
        <v>398.44</v>
      </c>
      <c r="AH544" s="173" t="e">
        <f t="shared" si="76"/>
        <v>#N/A</v>
      </c>
      <c r="AS544" s="173" t="e">
        <f t="shared" si="77"/>
        <v>#N/A</v>
      </c>
    </row>
    <row r="545" spans="1:45" s="173" customFormat="1" ht="36" customHeight="1" x14ac:dyDescent="0.9">
      <c r="B545" s="90" t="s">
        <v>1117</v>
      </c>
      <c r="C545" s="192"/>
      <c r="D545" s="185" t="s">
        <v>915</v>
      </c>
      <c r="E545" s="185" t="s">
        <v>915</v>
      </c>
      <c r="F545" s="185" t="s">
        <v>915</v>
      </c>
      <c r="G545" s="185" t="s">
        <v>915</v>
      </c>
      <c r="H545" s="185" t="s">
        <v>915</v>
      </c>
      <c r="I545" s="186">
        <f>SUM(I546:I677)</f>
        <v>432019.55000000005</v>
      </c>
      <c r="J545" s="186">
        <f>SUM(J546:J677)</f>
        <v>390872.25999999989</v>
      </c>
      <c r="K545" s="186">
        <f>SUM(K546:K677)</f>
        <v>315891.74000000017</v>
      </c>
      <c r="L545" s="187">
        <f>SUM(L546:L677)</f>
        <v>17615</v>
      </c>
      <c r="M545" s="185" t="s">
        <v>915</v>
      </c>
      <c r="N545" s="185" t="s">
        <v>915</v>
      </c>
      <c r="O545" s="188" t="s">
        <v>915</v>
      </c>
      <c r="P545" s="186">
        <v>282309035.2899999</v>
      </c>
      <c r="Q545" s="186">
        <f>SUM(Q546:Q677)</f>
        <v>0</v>
      </c>
      <c r="R545" s="186">
        <f>SUM(R546:R677)</f>
        <v>0</v>
      </c>
      <c r="S545" s="186">
        <f>SUM(S546:S677)</f>
        <v>282309035.2899999</v>
      </c>
      <c r="T545" s="189">
        <f t="shared" si="74"/>
        <v>653.46356499375986</v>
      </c>
      <c r="U545" s="189">
        <f>MAX(U546:U657)</f>
        <v>7231.9971893208103</v>
      </c>
      <c r="V545" s="170">
        <f t="shared" si="78"/>
        <v>6578.5336243270503</v>
      </c>
      <c r="W545" s="170"/>
      <c r="X545" s="170"/>
      <c r="Y545" s="173" t="e">
        <f t="shared" si="79"/>
        <v>#N/A</v>
      </c>
      <c r="AA545" s="173" t="e">
        <f t="shared" si="75"/>
        <v>#N/A</v>
      </c>
      <c r="AC545" s="173" t="s">
        <v>1639</v>
      </c>
      <c r="AD545" s="173">
        <v>404.2</v>
      </c>
      <c r="AH545" s="173" t="e">
        <f t="shared" si="76"/>
        <v>#N/A</v>
      </c>
      <c r="AS545" s="173" t="e">
        <f t="shared" si="77"/>
        <v>#N/A</v>
      </c>
    </row>
    <row r="546" spans="1:45" s="173" customFormat="1" ht="36" customHeight="1" x14ac:dyDescent="0.9">
      <c r="A546" s="173">
        <v>1</v>
      </c>
      <c r="B546" s="91">
        <f>SUBTOTAL(103,$A546:A$546)</f>
        <v>1</v>
      </c>
      <c r="C546" s="90" t="s">
        <v>539</v>
      </c>
      <c r="D546" s="185" t="s">
        <v>359</v>
      </c>
      <c r="E546" s="185"/>
      <c r="F546" s="191" t="s">
        <v>273</v>
      </c>
      <c r="G546" s="185" t="s">
        <v>360</v>
      </c>
      <c r="H546" s="185">
        <v>4</v>
      </c>
      <c r="I546" s="186">
        <v>3486.3</v>
      </c>
      <c r="J546" s="186">
        <v>3020.1</v>
      </c>
      <c r="K546" s="186">
        <v>2123</v>
      </c>
      <c r="L546" s="187">
        <v>136</v>
      </c>
      <c r="M546" s="185" t="s">
        <v>271</v>
      </c>
      <c r="N546" s="185" t="s">
        <v>275</v>
      </c>
      <c r="O546" s="188" t="s">
        <v>1100</v>
      </c>
      <c r="P546" s="189">
        <v>4625631.57</v>
      </c>
      <c r="Q546" s="189">
        <v>0</v>
      </c>
      <c r="R546" s="189">
        <v>0</v>
      </c>
      <c r="S546" s="189">
        <f t="shared" ref="S546:S609" si="82">P546-Q546-R546</f>
        <v>4625631.57</v>
      </c>
      <c r="T546" s="189">
        <f t="shared" si="74"/>
        <v>1326.8025040874279</v>
      </c>
      <c r="U546" s="189">
        <f>Y546</f>
        <v>1407.9373547887444</v>
      </c>
      <c r="V546" s="170">
        <f t="shared" si="78"/>
        <v>81.134850701316509</v>
      </c>
      <c r="W546" s="170"/>
      <c r="X546" s="170"/>
      <c r="Y546" s="173">
        <f t="shared" si="79"/>
        <v>1407.9373547887444</v>
      </c>
      <c r="AA546" s="173">
        <f t="shared" si="75"/>
        <v>940</v>
      </c>
      <c r="AC546" s="173" t="s">
        <v>433</v>
      </c>
      <c r="AD546" s="173">
        <v>930</v>
      </c>
      <c r="AH546" s="173" t="e">
        <f t="shared" si="76"/>
        <v>#N/A</v>
      </c>
      <c r="AS546" s="173" t="e">
        <f t="shared" si="77"/>
        <v>#N/A</v>
      </c>
    </row>
    <row r="547" spans="1:45" s="173" customFormat="1" ht="36" customHeight="1" x14ac:dyDescent="0.9">
      <c r="A547" s="173">
        <v>1</v>
      </c>
      <c r="B547" s="91">
        <f>SUBTOTAL(103,$A$546:A547)</f>
        <v>2</v>
      </c>
      <c r="C547" s="90" t="s">
        <v>540</v>
      </c>
      <c r="D547" s="185" t="s">
        <v>361</v>
      </c>
      <c r="E547" s="185"/>
      <c r="F547" s="191" t="s">
        <v>319</v>
      </c>
      <c r="G547" s="185" t="s">
        <v>360</v>
      </c>
      <c r="H547" s="185">
        <v>4</v>
      </c>
      <c r="I547" s="186">
        <v>3788.4</v>
      </c>
      <c r="J547" s="186">
        <v>3519.1</v>
      </c>
      <c r="K547" s="186">
        <v>2414</v>
      </c>
      <c r="L547" s="187">
        <v>100</v>
      </c>
      <c r="M547" s="185" t="s">
        <v>271</v>
      </c>
      <c r="N547" s="185" t="s">
        <v>275</v>
      </c>
      <c r="O547" s="188" t="s">
        <v>1100</v>
      </c>
      <c r="P547" s="189">
        <v>4549323.9899999993</v>
      </c>
      <c r="Q547" s="189">
        <v>0</v>
      </c>
      <c r="R547" s="189">
        <v>0</v>
      </c>
      <c r="S547" s="189">
        <f t="shared" si="82"/>
        <v>4549323.9899999993</v>
      </c>
      <c r="T547" s="189">
        <f t="shared" si="74"/>
        <v>1200.8562955337343</v>
      </c>
      <c r="U547" s="189">
        <f>Y547</f>
        <v>1323.2309154260374</v>
      </c>
      <c r="V547" s="170">
        <f t="shared" si="78"/>
        <v>122.37461989230314</v>
      </c>
      <c r="W547" s="170"/>
      <c r="X547" s="170"/>
      <c r="Y547" s="173">
        <f t="shared" si="79"/>
        <v>1323.2309154260374</v>
      </c>
      <c r="AA547" s="173">
        <f t="shared" si="75"/>
        <v>960</v>
      </c>
      <c r="AC547" s="173" t="s">
        <v>434</v>
      </c>
      <c r="AD547" s="173">
        <v>594</v>
      </c>
      <c r="AH547" s="173" t="e">
        <f t="shared" si="76"/>
        <v>#N/A</v>
      </c>
      <c r="AS547" s="173" t="e">
        <f t="shared" si="77"/>
        <v>#N/A</v>
      </c>
    </row>
    <row r="548" spans="1:45" s="173" customFormat="1" ht="36" customHeight="1" x14ac:dyDescent="0.9">
      <c r="A548" s="173">
        <v>1</v>
      </c>
      <c r="B548" s="91">
        <f>SUBTOTAL(103,$A$546:A548)</f>
        <v>3</v>
      </c>
      <c r="C548" s="90" t="s">
        <v>541</v>
      </c>
      <c r="D548" s="185" t="s">
        <v>322</v>
      </c>
      <c r="E548" s="185"/>
      <c r="F548" s="191" t="s">
        <v>319</v>
      </c>
      <c r="G548" s="185" t="s">
        <v>360</v>
      </c>
      <c r="H548" s="185">
        <v>4</v>
      </c>
      <c r="I548" s="186">
        <v>3837.6</v>
      </c>
      <c r="J548" s="186">
        <v>3545.4</v>
      </c>
      <c r="K548" s="186">
        <v>2406.4</v>
      </c>
      <c r="L548" s="187">
        <v>162</v>
      </c>
      <c r="M548" s="185" t="s">
        <v>271</v>
      </c>
      <c r="N548" s="185" t="s">
        <v>275</v>
      </c>
      <c r="O548" s="188" t="s">
        <v>1100</v>
      </c>
      <c r="P548" s="189">
        <v>4549323.9899999993</v>
      </c>
      <c r="Q548" s="189">
        <v>0</v>
      </c>
      <c r="R548" s="189">
        <v>0</v>
      </c>
      <c r="S548" s="189">
        <f t="shared" si="82"/>
        <v>4549323.9899999993</v>
      </c>
      <c r="T548" s="189">
        <f t="shared" si="74"/>
        <v>1185.4607020012506</v>
      </c>
      <c r="U548" s="189">
        <f>Y548</f>
        <v>1306.266416510319</v>
      </c>
      <c r="V548" s="170">
        <f t="shared" si="78"/>
        <v>120.80571450906837</v>
      </c>
      <c r="W548" s="170"/>
      <c r="X548" s="170"/>
      <c r="Y548" s="173">
        <f t="shared" si="79"/>
        <v>1306.266416510319</v>
      </c>
      <c r="AA548" s="173">
        <f t="shared" si="75"/>
        <v>960</v>
      </c>
      <c r="AC548" s="173" t="s">
        <v>435</v>
      </c>
      <c r="AD548" s="173">
        <v>1118</v>
      </c>
      <c r="AH548" s="173" t="e">
        <f t="shared" si="76"/>
        <v>#N/A</v>
      </c>
      <c r="AS548" s="173" t="e">
        <f t="shared" si="77"/>
        <v>#N/A</v>
      </c>
    </row>
    <row r="549" spans="1:45" s="173" customFormat="1" ht="36" customHeight="1" x14ac:dyDescent="0.9">
      <c r="A549" s="173">
        <v>1</v>
      </c>
      <c r="B549" s="91">
        <f>SUBTOTAL(103,$A$546:A549)</f>
        <v>4</v>
      </c>
      <c r="C549" s="90" t="s">
        <v>542</v>
      </c>
      <c r="D549" s="185" t="s">
        <v>318</v>
      </c>
      <c r="E549" s="185"/>
      <c r="F549" s="191" t="s">
        <v>319</v>
      </c>
      <c r="G549" s="185" t="s">
        <v>360</v>
      </c>
      <c r="H549" s="185">
        <v>3</v>
      </c>
      <c r="I549" s="186">
        <v>2494.5</v>
      </c>
      <c r="J549" s="186">
        <v>2290.6</v>
      </c>
      <c r="K549" s="186">
        <v>2237.6</v>
      </c>
      <c r="L549" s="187">
        <v>118</v>
      </c>
      <c r="M549" s="185" t="s">
        <v>271</v>
      </c>
      <c r="N549" s="185" t="s">
        <v>275</v>
      </c>
      <c r="O549" s="188" t="s">
        <v>1101</v>
      </c>
      <c r="P549" s="189">
        <v>3263607.5799999996</v>
      </c>
      <c r="Q549" s="189">
        <v>0</v>
      </c>
      <c r="R549" s="189">
        <v>0</v>
      </c>
      <c r="S549" s="189">
        <f t="shared" si="82"/>
        <v>3263607.5799999996</v>
      </c>
      <c r="T549" s="189">
        <f t="shared" si="74"/>
        <v>1308.3213389456803</v>
      </c>
      <c r="U549" s="189">
        <f>Y549</f>
        <v>1375.5240649428745</v>
      </c>
      <c r="V549" s="170">
        <f t="shared" si="78"/>
        <v>67.202725997194193</v>
      </c>
      <c r="W549" s="170"/>
      <c r="X549" s="170"/>
      <c r="Y549" s="173">
        <f t="shared" si="79"/>
        <v>1375.5240649428745</v>
      </c>
      <c r="AA549" s="173">
        <f t="shared" si="75"/>
        <v>657.1</v>
      </c>
      <c r="AC549" s="173" t="s">
        <v>437</v>
      </c>
      <c r="AD549" s="173">
        <v>734</v>
      </c>
      <c r="AH549" s="173" t="e">
        <f t="shared" si="76"/>
        <v>#N/A</v>
      </c>
      <c r="AS549" s="173" t="e">
        <f t="shared" si="77"/>
        <v>#N/A</v>
      </c>
    </row>
    <row r="550" spans="1:45" s="173" customFormat="1" ht="36" customHeight="1" x14ac:dyDescent="0.9">
      <c r="A550" s="173">
        <v>1</v>
      </c>
      <c r="B550" s="91">
        <f>SUBTOTAL(103,$A$546:A550)</f>
        <v>5</v>
      </c>
      <c r="C550" s="90" t="s">
        <v>543</v>
      </c>
      <c r="D550" s="185">
        <v>1993</v>
      </c>
      <c r="E550" s="185"/>
      <c r="F550" s="191" t="s">
        <v>319</v>
      </c>
      <c r="G550" s="185">
        <v>9</v>
      </c>
      <c r="H550" s="185">
        <v>1</v>
      </c>
      <c r="I550" s="186">
        <v>2320.3000000000002</v>
      </c>
      <c r="J550" s="186">
        <v>2320.3000000000002</v>
      </c>
      <c r="K550" s="186">
        <v>2280.8000000000002</v>
      </c>
      <c r="L550" s="187">
        <v>90</v>
      </c>
      <c r="M550" s="185" t="s">
        <v>271</v>
      </c>
      <c r="N550" s="185" t="s">
        <v>275</v>
      </c>
      <c r="O550" s="188" t="s">
        <v>1412</v>
      </c>
      <c r="P550" s="189">
        <v>2176230.92</v>
      </c>
      <c r="Q550" s="189">
        <v>0</v>
      </c>
      <c r="R550" s="189">
        <v>0</v>
      </c>
      <c r="S550" s="189">
        <f t="shared" si="82"/>
        <v>2176230.92</v>
      </c>
      <c r="T550" s="189">
        <f t="shared" si="74"/>
        <v>937.90928759212159</v>
      </c>
      <c r="U550" s="189">
        <f>AR550</f>
        <v>951.34810153859405</v>
      </c>
      <c r="V550" s="170">
        <f t="shared" si="78"/>
        <v>13.438813946472465</v>
      </c>
      <c r="W550" s="170"/>
      <c r="X550" s="170"/>
      <c r="Y550" s="173" t="e">
        <f t="shared" si="79"/>
        <v>#N/A</v>
      </c>
      <c r="AA550" s="173" t="e">
        <f t="shared" si="75"/>
        <v>#N/A</v>
      </c>
      <c r="AC550" s="173" t="s">
        <v>438</v>
      </c>
      <c r="AD550" s="173">
        <v>1714</v>
      </c>
      <c r="AH550" s="173" t="e">
        <f t="shared" si="76"/>
        <v>#N/A</v>
      </c>
      <c r="AR550" s="173">
        <f>AS550*2207413/I550</f>
        <v>951.34810153859405</v>
      </c>
      <c r="AS550" s="173">
        <f t="shared" si="77"/>
        <v>1</v>
      </c>
    </row>
    <row r="551" spans="1:45" s="173" customFormat="1" ht="36" customHeight="1" x14ac:dyDescent="0.9">
      <c r="A551" s="173">
        <v>1</v>
      </c>
      <c r="B551" s="91">
        <f>SUBTOTAL(103,$A$546:A551)</f>
        <v>6</v>
      </c>
      <c r="C551" s="90" t="s">
        <v>544</v>
      </c>
      <c r="D551" s="185">
        <v>1995</v>
      </c>
      <c r="E551" s="185"/>
      <c r="F551" s="191" t="s">
        <v>319</v>
      </c>
      <c r="G551" s="185">
        <v>9</v>
      </c>
      <c r="H551" s="185">
        <v>1</v>
      </c>
      <c r="I551" s="186">
        <v>2297.9</v>
      </c>
      <c r="J551" s="186">
        <v>2297.9</v>
      </c>
      <c r="K551" s="186">
        <v>2290.8000000000002</v>
      </c>
      <c r="L551" s="187">
        <v>95</v>
      </c>
      <c r="M551" s="185" t="s">
        <v>271</v>
      </c>
      <c r="N551" s="185" t="s">
        <v>275</v>
      </c>
      <c r="O551" s="188" t="s">
        <v>1412</v>
      </c>
      <c r="P551" s="189">
        <v>2176122.0499999998</v>
      </c>
      <c r="Q551" s="189">
        <v>0</v>
      </c>
      <c r="R551" s="189">
        <v>0</v>
      </c>
      <c r="S551" s="189">
        <f t="shared" si="82"/>
        <v>2176122.0499999998</v>
      </c>
      <c r="T551" s="189">
        <f t="shared" si="74"/>
        <v>947.00467818442917</v>
      </c>
      <c r="U551" s="189">
        <f>AR551</f>
        <v>960.62187214413154</v>
      </c>
      <c r="V551" s="170">
        <f t="shared" si="78"/>
        <v>13.617193959702377</v>
      </c>
      <c r="W551" s="170"/>
      <c r="X551" s="170"/>
      <c r="Y551" s="173" t="e">
        <f t="shared" si="79"/>
        <v>#N/A</v>
      </c>
      <c r="AA551" s="173" t="e">
        <f t="shared" si="75"/>
        <v>#N/A</v>
      </c>
      <c r="AC551" s="173" t="s">
        <v>439</v>
      </c>
      <c r="AD551" s="173">
        <v>600</v>
      </c>
      <c r="AH551" s="173" t="e">
        <f t="shared" si="76"/>
        <v>#N/A</v>
      </c>
      <c r="AR551" s="173">
        <f>AS551*2207413/I551</f>
        <v>960.62187214413154</v>
      </c>
      <c r="AS551" s="173">
        <f t="shared" si="77"/>
        <v>1</v>
      </c>
    </row>
    <row r="552" spans="1:45" s="173" customFormat="1" ht="36" customHeight="1" x14ac:dyDescent="0.9">
      <c r="A552" s="173">
        <v>1</v>
      </c>
      <c r="B552" s="91">
        <f>SUBTOTAL(103,$A$546:A552)</f>
        <v>7</v>
      </c>
      <c r="C552" s="90" t="s">
        <v>545</v>
      </c>
      <c r="D552" s="185" t="s">
        <v>313</v>
      </c>
      <c r="E552" s="185"/>
      <c r="F552" s="191" t="s">
        <v>319</v>
      </c>
      <c r="G552" s="185" t="s">
        <v>360</v>
      </c>
      <c r="H552" s="185">
        <v>5</v>
      </c>
      <c r="I552" s="186">
        <v>3875.8</v>
      </c>
      <c r="J552" s="186">
        <v>3540</v>
      </c>
      <c r="K552" s="186">
        <v>2482.6999999999998</v>
      </c>
      <c r="L552" s="187">
        <v>168</v>
      </c>
      <c r="M552" s="185" t="s">
        <v>271</v>
      </c>
      <c r="N552" s="185" t="s">
        <v>275</v>
      </c>
      <c r="O552" s="188" t="s">
        <v>1100</v>
      </c>
      <c r="P552" s="189">
        <v>4642018.24</v>
      </c>
      <c r="Q552" s="189">
        <v>0</v>
      </c>
      <c r="R552" s="189">
        <v>0</v>
      </c>
      <c r="S552" s="189">
        <f t="shared" si="82"/>
        <v>4642018.24</v>
      </c>
      <c r="T552" s="189">
        <f t="shared" si="74"/>
        <v>1197.6929253315445</v>
      </c>
      <c r="U552" s="189">
        <f>Y552</f>
        <v>1320.3374787140719</v>
      </c>
      <c r="V552" s="170">
        <f t="shared" si="78"/>
        <v>122.64455338252742</v>
      </c>
      <c r="W552" s="170"/>
      <c r="X552" s="170"/>
      <c r="Y552" s="173">
        <f t="shared" si="79"/>
        <v>1320.3374787140719</v>
      </c>
      <c r="AA552" s="173">
        <f t="shared" si="75"/>
        <v>980</v>
      </c>
      <c r="AC552" s="173" t="s">
        <v>440</v>
      </c>
      <c r="AD552" s="173">
        <v>350</v>
      </c>
      <c r="AH552" s="173" t="e">
        <f t="shared" si="76"/>
        <v>#N/A</v>
      </c>
      <c r="AS552" s="173" t="e">
        <f t="shared" si="77"/>
        <v>#N/A</v>
      </c>
    </row>
    <row r="553" spans="1:45" s="173" customFormat="1" ht="36" customHeight="1" x14ac:dyDescent="0.9">
      <c r="A553" s="173">
        <v>1</v>
      </c>
      <c r="B553" s="91">
        <f>SUBTOTAL(103,$A$546:A553)</f>
        <v>8</v>
      </c>
      <c r="C553" s="90" t="s">
        <v>546</v>
      </c>
      <c r="D553" s="185" t="s">
        <v>362</v>
      </c>
      <c r="E553" s="185"/>
      <c r="F553" s="191" t="s">
        <v>273</v>
      </c>
      <c r="G553" s="185" t="s">
        <v>360</v>
      </c>
      <c r="H553" s="185">
        <v>2</v>
      </c>
      <c r="I553" s="186">
        <v>2473.3000000000002</v>
      </c>
      <c r="J553" s="186">
        <v>1702</v>
      </c>
      <c r="K553" s="186">
        <v>1117.3</v>
      </c>
      <c r="L553" s="187">
        <v>84</v>
      </c>
      <c r="M553" s="185" t="s">
        <v>271</v>
      </c>
      <c r="N553" s="185" t="s">
        <v>275</v>
      </c>
      <c r="O553" s="188" t="s">
        <v>1116</v>
      </c>
      <c r="P553" s="189">
        <v>3518296.02</v>
      </c>
      <c r="Q553" s="189">
        <v>0</v>
      </c>
      <c r="R553" s="189">
        <v>0</v>
      </c>
      <c r="S553" s="189">
        <f t="shared" si="82"/>
        <v>3518296.02</v>
      </c>
      <c r="T553" s="189">
        <f t="shared" si="74"/>
        <v>1422.5108235960051</v>
      </c>
      <c r="U553" s="189">
        <f>Y553</f>
        <v>1499.0005256135526</v>
      </c>
      <c r="V553" s="170">
        <f t="shared" si="78"/>
        <v>76.489702017547415</v>
      </c>
      <c r="W553" s="170"/>
      <c r="X553" s="170"/>
      <c r="Y553" s="173">
        <f t="shared" si="79"/>
        <v>1499.0005256135526</v>
      </c>
      <c r="AA553" s="173">
        <f t="shared" si="75"/>
        <v>710</v>
      </c>
      <c r="AC553" s="173" t="s">
        <v>209</v>
      </c>
      <c r="AD553" s="173">
        <v>999</v>
      </c>
      <c r="AH553" s="173" t="e">
        <f t="shared" si="76"/>
        <v>#N/A</v>
      </c>
      <c r="AS553" s="173" t="e">
        <f t="shared" si="77"/>
        <v>#N/A</v>
      </c>
    </row>
    <row r="554" spans="1:45" s="173" customFormat="1" ht="36" customHeight="1" x14ac:dyDescent="0.9">
      <c r="A554" s="173">
        <v>1</v>
      </c>
      <c r="B554" s="91">
        <f>SUBTOTAL(103,$A$546:A554)</f>
        <v>9</v>
      </c>
      <c r="C554" s="90" t="s">
        <v>1403</v>
      </c>
      <c r="D554" s="185">
        <v>1986</v>
      </c>
      <c r="E554" s="185"/>
      <c r="F554" s="191" t="s">
        <v>319</v>
      </c>
      <c r="G554" s="185">
        <v>9</v>
      </c>
      <c r="H554" s="185">
        <v>6</v>
      </c>
      <c r="I554" s="186">
        <v>12835.6</v>
      </c>
      <c r="J554" s="186">
        <v>11520.6</v>
      </c>
      <c r="K554" s="186">
        <v>11110.5</v>
      </c>
      <c r="L554" s="187">
        <v>540</v>
      </c>
      <c r="M554" s="185" t="s">
        <v>271</v>
      </c>
      <c r="N554" s="185" t="s">
        <v>275</v>
      </c>
      <c r="O554" s="188" t="s">
        <v>1116</v>
      </c>
      <c r="P554" s="189">
        <v>13626023.99</v>
      </c>
      <c r="Q554" s="189">
        <v>0</v>
      </c>
      <c r="R554" s="189">
        <v>0</v>
      </c>
      <c r="S554" s="189">
        <f t="shared" si="82"/>
        <v>13626023.99</v>
      </c>
      <c r="T554" s="189">
        <f t="shared" si="74"/>
        <v>1061.5806031661941</v>
      </c>
      <c r="U554" s="189">
        <f>T554</f>
        <v>1061.5806031661941</v>
      </c>
      <c r="V554" s="170">
        <f t="shared" si="78"/>
        <v>0</v>
      </c>
      <c r="W554" s="170"/>
      <c r="X554" s="170"/>
      <c r="Y554" s="173" t="e">
        <f t="shared" si="79"/>
        <v>#N/A</v>
      </c>
      <c r="AA554" s="173" t="e">
        <f t="shared" si="75"/>
        <v>#N/A</v>
      </c>
      <c r="AC554" s="173" t="s">
        <v>441</v>
      </c>
      <c r="AD554" s="173">
        <v>1024</v>
      </c>
      <c r="AH554" s="173" t="e">
        <f t="shared" si="76"/>
        <v>#N/A</v>
      </c>
      <c r="AR554" s="173">
        <f>AS554*2207413/I554</f>
        <v>1031.8549970394838</v>
      </c>
      <c r="AS554" s="173">
        <f t="shared" si="77"/>
        <v>6</v>
      </c>
    </row>
    <row r="555" spans="1:45" s="173" customFormat="1" ht="36" customHeight="1" x14ac:dyDescent="0.9">
      <c r="A555" s="173">
        <v>1</v>
      </c>
      <c r="B555" s="91">
        <f>SUBTOTAL(103,$A$546:A555)</f>
        <v>10</v>
      </c>
      <c r="C555" s="90" t="s">
        <v>547</v>
      </c>
      <c r="D555" s="185" t="s">
        <v>363</v>
      </c>
      <c r="E555" s="185"/>
      <c r="F555" s="191" t="s">
        <v>273</v>
      </c>
      <c r="G555" s="185" t="s">
        <v>320</v>
      </c>
      <c r="H555" s="185">
        <v>2</v>
      </c>
      <c r="I555" s="186">
        <v>944.2</v>
      </c>
      <c r="J555" s="186">
        <v>863.6</v>
      </c>
      <c r="K555" s="186">
        <v>732.5</v>
      </c>
      <c r="L555" s="187">
        <v>48</v>
      </c>
      <c r="M555" s="185" t="s">
        <v>271</v>
      </c>
      <c r="N555" s="185" t="s">
        <v>275</v>
      </c>
      <c r="O555" s="188" t="s">
        <v>1424</v>
      </c>
      <c r="P555" s="189">
        <v>2570383.31</v>
      </c>
      <c r="Q555" s="189">
        <v>0</v>
      </c>
      <c r="R555" s="189">
        <v>0</v>
      </c>
      <c r="S555" s="189">
        <f t="shared" si="82"/>
        <v>2570383.31</v>
      </c>
      <c r="T555" s="189">
        <f t="shared" si="74"/>
        <v>2722.2869201440371</v>
      </c>
      <c r="U555" s="189">
        <f t="shared" ref="U555:U567" si="83">Y555</f>
        <v>2875.8059733107393</v>
      </c>
      <c r="V555" s="170">
        <f t="shared" si="78"/>
        <v>153.51905316670218</v>
      </c>
      <c r="W555" s="170"/>
      <c r="X555" s="170"/>
      <c r="Y555" s="173">
        <f t="shared" si="79"/>
        <v>2875.8059733107393</v>
      </c>
      <c r="AA555" s="173">
        <f t="shared" si="75"/>
        <v>520</v>
      </c>
      <c r="AC555" s="173" t="s">
        <v>443</v>
      </c>
      <c r="AD555" s="173">
        <v>600</v>
      </c>
      <c r="AH555" s="173" t="e">
        <f t="shared" si="76"/>
        <v>#N/A</v>
      </c>
      <c r="AS555" s="173" t="e">
        <f t="shared" si="77"/>
        <v>#N/A</v>
      </c>
    </row>
    <row r="556" spans="1:45" s="173" customFormat="1" ht="36" customHeight="1" x14ac:dyDescent="0.9">
      <c r="A556" s="173">
        <v>1</v>
      </c>
      <c r="B556" s="91">
        <f>SUBTOTAL(103,$A$546:A556)</f>
        <v>11</v>
      </c>
      <c r="C556" s="90" t="s">
        <v>548</v>
      </c>
      <c r="D556" s="185" t="s">
        <v>364</v>
      </c>
      <c r="E556" s="185"/>
      <c r="F556" s="191" t="s">
        <v>273</v>
      </c>
      <c r="G556" s="185" t="s">
        <v>360</v>
      </c>
      <c r="H556" s="185">
        <v>1</v>
      </c>
      <c r="I556" s="186">
        <v>4677.8999999999996</v>
      </c>
      <c r="J556" s="186">
        <v>2936.3</v>
      </c>
      <c r="K556" s="186">
        <v>2632.1</v>
      </c>
      <c r="L556" s="187">
        <v>196</v>
      </c>
      <c r="M556" s="185" t="s">
        <v>271</v>
      </c>
      <c r="N556" s="185" t="s">
        <v>275</v>
      </c>
      <c r="O556" s="188" t="s">
        <v>1410</v>
      </c>
      <c r="P556" s="189">
        <v>4554037.87</v>
      </c>
      <c r="Q556" s="189">
        <v>0</v>
      </c>
      <c r="R556" s="189">
        <v>0</v>
      </c>
      <c r="S556" s="189">
        <f t="shared" si="82"/>
        <v>4554037.87</v>
      </c>
      <c r="T556" s="189">
        <f t="shared" si="74"/>
        <v>973.52185168558549</v>
      </c>
      <c r="U556" s="189">
        <f t="shared" si="83"/>
        <v>1032.6949772333739</v>
      </c>
      <c r="V556" s="170">
        <f t="shared" si="78"/>
        <v>59.173125547788459</v>
      </c>
      <c r="W556" s="170"/>
      <c r="X556" s="170"/>
      <c r="Y556" s="173">
        <f t="shared" si="79"/>
        <v>1032.6949772333739</v>
      </c>
      <c r="AA556" s="173">
        <f t="shared" si="75"/>
        <v>925.13</v>
      </c>
      <c r="AC556" s="173" t="s">
        <v>444</v>
      </c>
      <c r="AD556" s="173">
        <v>747</v>
      </c>
      <c r="AH556" s="173" t="e">
        <f t="shared" si="76"/>
        <v>#N/A</v>
      </c>
      <c r="AS556" s="173" t="e">
        <f t="shared" si="77"/>
        <v>#N/A</v>
      </c>
    </row>
    <row r="557" spans="1:45" s="173" customFormat="1" ht="36" customHeight="1" x14ac:dyDescent="0.9">
      <c r="A557" s="173">
        <v>1</v>
      </c>
      <c r="B557" s="91">
        <f>SUBTOTAL(103,$A$546:A557)</f>
        <v>12</v>
      </c>
      <c r="C557" s="90" t="s">
        <v>549</v>
      </c>
      <c r="D557" s="185" t="s">
        <v>386</v>
      </c>
      <c r="E557" s="185"/>
      <c r="F557" s="191" t="s">
        <v>273</v>
      </c>
      <c r="G557" s="185" t="s">
        <v>360</v>
      </c>
      <c r="H557" s="185">
        <v>6</v>
      </c>
      <c r="I557" s="186">
        <v>5781</v>
      </c>
      <c r="J557" s="186">
        <v>4320.2</v>
      </c>
      <c r="K557" s="186">
        <v>2890.2</v>
      </c>
      <c r="L557" s="187">
        <v>208</v>
      </c>
      <c r="M557" s="185" t="s">
        <v>271</v>
      </c>
      <c r="N557" s="185" t="s">
        <v>275</v>
      </c>
      <c r="O557" s="188" t="s">
        <v>1100</v>
      </c>
      <c r="P557" s="189">
        <v>3759019.5700000003</v>
      </c>
      <c r="Q557" s="189">
        <v>0</v>
      </c>
      <c r="R557" s="189">
        <v>0</v>
      </c>
      <c r="S557" s="189">
        <f t="shared" si="82"/>
        <v>3759019.5700000003</v>
      </c>
      <c r="T557" s="189">
        <f t="shared" si="74"/>
        <v>650.23690883930124</v>
      </c>
      <c r="U557" s="189">
        <f t="shared" si="83"/>
        <v>686.48469122989104</v>
      </c>
      <c r="V557" s="170">
        <f t="shared" si="78"/>
        <v>36.247782390589805</v>
      </c>
      <c r="W557" s="170"/>
      <c r="X557" s="170"/>
      <c r="Y557" s="173">
        <f t="shared" si="79"/>
        <v>686.48469122989104</v>
      </c>
      <c r="AA557" s="173">
        <f t="shared" si="75"/>
        <v>760</v>
      </c>
      <c r="AC557" s="173" t="s">
        <v>445</v>
      </c>
      <c r="AD557" s="173">
        <v>483</v>
      </c>
      <c r="AH557" s="173" t="e">
        <f t="shared" si="76"/>
        <v>#N/A</v>
      </c>
      <c r="AS557" s="173" t="e">
        <f t="shared" si="77"/>
        <v>#N/A</v>
      </c>
    </row>
    <row r="558" spans="1:45" s="173" customFormat="1" ht="36" customHeight="1" x14ac:dyDescent="0.9">
      <c r="A558" s="173">
        <v>1</v>
      </c>
      <c r="B558" s="91">
        <f>SUBTOTAL(103,$A$546:A558)</f>
        <v>13</v>
      </c>
      <c r="C558" s="90" t="s">
        <v>550</v>
      </c>
      <c r="D558" s="185" t="s">
        <v>315</v>
      </c>
      <c r="E558" s="185"/>
      <c r="F558" s="191" t="s">
        <v>273</v>
      </c>
      <c r="G558" s="185" t="s">
        <v>320</v>
      </c>
      <c r="H558" s="185">
        <v>1</v>
      </c>
      <c r="I558" s="186">
        <v>1243.7</v>
      </c>
      <c r="J558" s="186">
        <v>761.1</v>
      </c>
      <c r="K558" s="186">
        <v>562.1</v>
      </c>
      <c r="L558" s="187">
        <v>53</v>
      </c>
      <c r="M558" s="185" t="s">
        <v>271</v>
      </c>
      <c r="N558" s="185" t="s">
        <v>275</v>
      </c>
      <c r="O558" s="188" t="s">
        <v>1410</v>
      </c>
      <c r="P558" s="189">
        <v>2589386.2599999998</v>
      </c>
      <c r="Q558" s="189">
        <v>0</v>
      </c>
      <c r="R558" s="189">
        <v>0</v>
      </c>
      <c r="S558" s="189">
        <f t="shared" si="82"/>
        <v>2589386.2599999998</v>
      </c>
      <c r="T558" s="189">
        <f t="shared" si="74"/>
        <v>2082.002299589933</v>
      </c>
      <c r="U558" s="189">
        <f t="shared" si="83"/>
        <v>2200.0668971616951</v>
      </c>
      <c r="V558" s="170">
        <f t="shared" si="78"/>
        <v>118.06459757176208</v>
      </c>
      <c r="W558" s="170"/>
      <c r="X558" s="170"/>
      <c r="Y558" s="173">
        <f t="shared" si="79"/>
        <v>2200.0668971616951</v>
      </c>
      <c r="AA558" s="173">
        <f t="shared" si="75"/>
        <v>524</v>
      </c>
      <c r="AC558" s="173" t="s">
        <v>446</v>
      </c>
      <c r="AD558" s="173">
        <v>1501</v>
      </c>
      <c r="AH558" s="173" t="e">
        <f t="shared" si="76"/>
        <v>#N/A</v>
      </c>
      <c r="AS558" s="173" t="e">
        <f t="shared" si="77"/>
        <v>#N/A</v>
      </c>
    </row>
    <row r="559" spans="1:45" s="173" customFormat="1" ht="36" customHeight="1" x14ac:dyDescent="0.9">
      <c r="A559" s="173">
        <v>1</v>
      </c>
      <c r="B559" s="91">
        <f>SUBTOTAL(103,$A$546:A559)</f>
        <v>14</v>
      </c>
      <c r="C559" s="90" t="s">
        <v>551</v>
      </c>
      <c r="D559" s="185" t="s">
        <v>365</v>
      </c>
      <c r="E559" s="185"/>
      <c r="F559" s="191" t="s">
        <v>273</v>
      </c>
      <c r="G559" s="185" t="s">
        <v>366</v>
      </c>
      <c r="H559" s="185">
        <v>1</v>
      </c>
      <c r="I559" s="186">
        <v>7598.06</v>
      </c>
      <c r="J559" s="186">
        <v>5648.6</v>
      </c>
      <c r="K559" s="186">
        <v>3448.8</v>
      </c>
      <c r="L559" s="187">
        <v>338</v>
      </c>
      <c r="M559" s="185" t="s">
        <v>271</v>
      </c>
      <c r="N559" s="185" t="s">
        <v>275</v>
      </c>
      <c r="O559" s="188" t="s">
        <v>1410</v>
      </c>
      <c r="P559" s="189">
        <v>5092635.92</v>
      </c>
      <c r="Q559" s="189">
        <v>0</v>
      </c>
      <c r="R559" s="189">
        <v>0</v>
      </c>
      <c r="S559" s="189">
        <f t="shared" si="82"/>
        <v>5092635.92</v>
      </c>
      <c r="T559" s="189">
        <f t="shared" si="74"/>
        <v>670.25476503212656</v>
      </c>
      <c r="U559" s="189">
        <f t="shared" si="83"/>
        <v>712.68279008062586</v>
      </c>
      <c r="V559" s="170">
        <f t="shared" si="78"/>
        <v>42.428025048499308</v>
      </c>
      <c r="W559" s="170"/>
      <c r="X559" s="170"/>
      <c r="Y559" s="173">
        <f t="shared" si="79"/>
        <v>712.68279008062586</v>
      </c>
      <c r="AA559" s="173">
        <f t="shared" si="75"/>
        <v>1037</v>
      </c>
      <c r="AC559" s="173" t="s">
        <v>447</v>
      </c>
      <c r="AD559" s="173">
        <v>600</v>
      </c>
      <c r="AH559" s="173" t="e">
        <f t="shared" si="76"/>
        <v>#N/A</v>
      </c>
      <c r="AS559" s="173" t="e">
        <f t="shared" si="77"/>
        <v>#N/A</v>
      </c>
    </row>
    <row r="560" spans="1:45" s="173" customFormat="1" ht="36" customHeight="1" x14ac:dyDescent="0.9">
      <c r="A560" s="173">
        <v>1</v>
      </c>
      <c r="B560" s="91">
        <f>SUBTOTAL(103,$A$546:A560)</f>
        <v>15</v>
      </c>
      <c r="C560" s="90" t="s">
        <v>552</v>
      </c>
      <c r="D560" s="185" t="s">
        <v>321</v>
      </c>
      <c r="E560" s="185"/>
      <c r="F560" s="191" t="s">
        <v>319</v>
      </c>
      <c r="G560" s="185" t="s">
        <v>366</v>
      </c>
      <c r="H560" s="185">
        <v>2</v>
      </c>
      <c r="I560" s="186">
        <v>4990.2</v>
      </c>
      <c r="J560" s="186">
        <v>3973.4</v>
      </c>
      <c r="K560" s="186">
        <v>3799.4</v>
      </c>
      <c r="L560" s="187">
        <v>180</v>
      </c>
      <c r="M560" s="185" t="s">
        <v>271</v>
      </c>
      <c r="N560" s="185" t="s">
        <v>275</v>
      </c>
      <c r="O560" s="188" t="s">
        <v>1349</v>
      </c>
      <c r="P560" s="189">
        <v>3229425.65</v>
      </c>
      <c r="Q560" s="189">
        <v>0</v>
      </c>
      <c r="R560" s="189">
        <v>0</v>
      </c>
      <c r="S560" s="189">
        <f t="shared" si="82"/>
        <v>3229425.65</v>
      </c>
      <c r="T560" s="189">
        <f t="shared" si="74"/>
        <v>647.15355095988139</v>
      </c>
      <c r="U560" s="189">
        <f t="shared" si="83"/>
        <v>680.16712757003734</v>
      </c>
      <c r="V560" s="170">
        <f t="shared" si="78"/>
        <v>33.013576610155951</v>
      </c>
      <c r="W560" s="170"/>
      <c r="X560" s="170"/>
      <c r="Y560" s="173">
        <f t="shared" si="79"/>
        <v>680.16712757003734</v>
      </c>
      <c r="AA560" s="173">
        <f t="shared" si="75"/>
        <v>650</v>
      </c>
      <c r="AC560" s="173" t="s">
        <v>448</v>
      </c>
      <c r="AD560" s="173">
        <v>369</v>
      </c>
      <c r="AH560" s="173" t="e">
        <f t="shared" si="76"/>
        <v>#N/A</v>
      </c>
      <c r="AS560" s="173" t="e">
        <f t="shared" si="77"/>
        <v>#N/A</v>
      </c>
    </row>
    <row r="561" spans="1:45" s="173" customFormat="1" ht="36" customHeight="1" x14ac:dyDescent="0.9">
      <c r="A561" s="173">
        <v>1</v>
      </c>
      <c r="B561" s="91">
        <f>SUBTOTAL(103,$A$546:A561)</f>
        <v>16</v>
      </c>
      <c r="C561" s="90" t="s">
        <v>553</v>
      </c>
      <c r="D561" s="185">
        <v>1970</v>
      </c>
      <c r="E561" s="185"/>
      <c r="F561" s="191" t="s">
        <v>273</v>
      </c>
      <c r="G561" s="185">
        <v>5</v>
      </c>
      <c r="H561" s="185">
        <v>4</v>
      </c>
      <c r="I561" s="186">
        <v>3361</v>
      </c>
      <c r="J561" s="186">
        <v>3361</v>
      </c>
      <c r="K561" s="186">
        <v>3735.6</v>
      </c>
      <c r="L561" s="187">
        <v>150</v>
      </c>
      <c r="M561" s="185" t="s">
        <v>271</v>
      </c>
      <c r="N561" s="185" t="s">
        <v>275</v>
      </c>
      <c r="O561" s="188" t="s">
        <v>1690</v>
      </c>
      <c r="P561" s="189">
        <v>5398710.1299999999</v>
      </c>
      <c r="Q561" s="189">
        <v>0</v>
      </c>
      <c r="R561" s="189">
        <v>0</v>
      </c>
      <c r="S561" s="189">
        <f t="shared" si="82"/>
        <v>5398710.1299999999</v>
      </c>
      <c r="T561" s="189">
        <f t="shared" si="74"/>
        <v>1606.2809074680154</v>
      </c>
      <c r="U561" s="189">
        <f t="shared" si="83"/>
        <v>1659.292591490628</v>
      </c>
      <c r="V561" s="170">
        <f t="shared" si="78"/>
        <v>53.011684022612599</v>
      </c>
      <c r="W561" s="170"/>
      <c r="X561" s="170"/>
      <c r="Y561" s="173">
        <f t="shared" si="79"/>
        <v>1659.292591490628</v>
      </c>
      <c r="AA561" s="173">
        <f t="shared" si="75"/>
        <v>1068</v>
      </c>
      <c r="AC561" s="173" t="s">
        <v>214</v>
      </c>
      <c r="AD561" s="173">
        <v>525</v>
      </c>
      <c r="AH561" s="173" t="e">
        <f t="shared" si="76"/>
        <v>#N/A</v>
      </c>
      <c r="AS561" s="173" t="e">
        <f t="shared" si="77"/>
        <v>#N/A</v>
      </c>
    </row>
    <row r="562" spans="1:45" s="173" customFormat="1" ht="36" customHeight="1" x14ac:dyDescent="0.9">
      <c r="A562" s="173">
        <v>1</v>
      </c>
      <c r="B562" s="91">
        <f>SUBTOTAL(103,$A$546:A562)</f>
        <v>17</v>
      </c>
      <c r="C562" s="90" t="s">
        <v>554</v>
      </c>
      <c r="D562" s="185">
        <v>1968</v>
      </c>
      <c r="E562" s="185"/>
      <c r="F562" s="191" t="s">
        <v>273</v>
      </c>
      <c r="G562" s="185" t="s">
        <v>360</v>
      </c>
      <c r="H562" s="185">
        <v>4</v>
      </c>
      <c r="I562" s="186">
        <v>3511.62</v>
      </c>
      <c r="J562" s="186">
        <v>3757.7</v>
      </c>
      <c r="K562" s="186">
        <v>3241.9</v>
      </c>
      <c r="L562" s="187">
        <v>238</v>
      </c>
      <c r="M562" s="185" t="s">
        <v>271</v>
      </c>
      <c r="N562" s="185" t="s">
        <v>275</v>
      </c>
      <c r="O562" s="188" t="s">
        <v>1412</v>
      </c>
      <c r="P562" s="189">
        <v>5145091.9399999995</v>
      </c>
      <c r="Q562" s="189">
        <v>0</v>
      </c>
      <c r="R562" s="189">
        <v>0</v>
      </c>
      <c r="S562" s="189">
        <f t="shared" si="82"/>
        <v>5145091.9399999995</v>
      </c>
      <c r="T562" s="189">
        <f t="shared" si="74"/>
        <v>1465.1619309606392</v>
      </c>
      <c r="U562" s="189">
        <f t="shared" si="83"/>
        <v>1579.2003690604338</v>
      </c>
      <c r="V562" s="170">
        <f t="shared" si="78"/>
        <v>114.03843809979458</v>
      </c>
      <c r="W562" s="170"/>
      <c r="X562" s="170"/>
      <c r="Y562" s="173">
        <f t="shared" si="79"/>
        <v>1579.2003690604338</v>
      </c>
      <c r="AA562" s="173">
        <f t="shared" si="75"/>
        <v>1062</v>
      </c>
      <c r="AC562" s="173" t="s">
        <v>213</v>
      </c>
      <c r="AD562" s="173">
        <v>614</v>
      </c>
      <c r="AH562" s="173" t="e">
        <f t="shared" si="76"/>
        <v>#N/A</v>
      </c>
      <c r="AS562" s="173" t="e">
        <f t="shared" si="77"/>
        <v>#N/A</v>
      </c>
    </row>
    <row r="563" spans="1:45" s="173" customFormat="1" ht="36" customHeight="1" x14ac:dyDescent="0.9">
      <c r="A563" s="173">
        <v>1</v>
      </c>
      <c r="B563" s="91">
        <f>SUBTOTAL(103,$A$546:A563)</f>
        <v>18</v>
      </c>
      <c r="C563" s="90" t="s">
        <v>555</v>
      </c>
      <c r="D563" s="185" t="s">
        <v>323</v>
      </c>
      <c r="E563" s="185"/>
      <c r="F563" s="191" t="s">
        <v>273</v>
      </c>
      <c r="G563" s="185">
        <v>5</v>
      </c>
      <c r="H563" s="185">
        <v>4</v>
      </c>
      <c r="I563" s="186">
        <v>4873.3</v>
      </c>
      <c r="J563" s="186">
        <v>2941.2</v>
      </c>
      <c r="K563" s="186">
        <v>2775.3</v>
      </c>
      <c r="L563" s="187">
        <v>144</v>
      </c>
      <c r="M563" s="185" t="s">
        <v>271</v>
      </c>
      <c r="N563" s="185" t="s">
        <v>275</v>
      </c>
      <c r="O563" s="188" t="s">
        <v>1349</v>
      </c>
      <c r="P563" s="189">
        <v>4517275.3499999996</v>
      </c>
      <c r="Q563" s="189">
        <v>0</v>
      </c>
      <c r="R563" s="189">
        <v>0</v>
      </c>
      <c r="S563" s="189">
        <f t="shared" si="82"/>
        <v>4517275.3499999996</v>
      </c>
      <c r="T563" s="189">
        <f t="shared" si="74"/>
        <v>926.94382656516109</v>
      </c>
      <c r="U563" s="189">
        <f t="shared" si="83"/>
        <v>1050.0818747050253</v>
      </c>
      <c r="V563" s="170">
        <f t="shared" si="78"/>
        <v>123.13804813986417</v>
      </c>
      <c r="W563" s="170"/>
      <c r="X563" s="170"/>
      <c r="Y563" s="173">
        <f t="shared" si="79"/>
        <v>1050.0818747050253</v>
      </c>
      <c r="AA563" s="173">
        <f t="shared" si="75"/>
        <v>980</v>
      </c>
      <c r="AC563" s="173" t="s">
        <v>450</v>
      </c>
      <c r="AD563" s="173">
        <v>370</v>
      </c>
      <c r="AH563" s="173" t="e">
        <f t="shared" si="76"/>
        <v>#N/A</v>
      </c>
      <c r="AS563" s="173" t="e">
        <f t="shared" si="77"/>
        <v>#N/A</v>
      </c>
    </row>
    <row r="564" spans="1:45" s="173" customFormat="1" ht="36" customHeight="1" x14ac:dyDescent="0.9">
      <c r="A564" s="173">
        <v>1</v>
      </c>
      <c r="B564" s="91">
        <f>SUBTOTAL(103,$A$546:A564)</f>
        <v>19</v>
      </c>
      <c r="C564" s="90" t="s">
        <v>822</v>
      </c>
      <c r="D564" s="185">
        <v>1961</v>
      </c>
      <c r="E564" s="185"/>
      <c r="F564" s="191" t="s">
        <v>273</v>
      </c>
      <c r="G564" s="185">
        <v>4</v>
      </c>
      <c r="H564" s="185">
        <v>4</v>
      </c>
      <c r="I564" s="186">
        <v>1126.9000000000001</v>
      </c>
      <c r="J564" s="186">
        <v>893.7</v>
      </c>
      <c r="K564" s="186">
        <v>707.8</v>
      </c>
      <c r="L564" s="187">
        <v>42</v>
      </c>
      <c r="M564" s="185" t="s">
        <v>271</v>
      </c>
      <c r="N564" s="185" t="s">
        <v>275</v>
      </c>
      <c r="O564" s="188" t="s">
        <v>1637</v>
      </c>
      <c r="P564" s="189">
        <v>2739901.57</v>
      </c>
      <c r="Q564" s="189">
        <v>0</v>
      </c>
      <c r="R564" s="189">
        <v>0</v>
      </c>
      <c r="S564" s="189">
        <f t="shared" si="82"/>
        <v>2739901.57</v>
      </c>
      <c r="T564" s="189">
        <f t="shared" si="74"/>
        <v>2431.361762356908</v>
      </c>
      <c r="U564" s="189">
        <f t="shared" si="83"/>
        <v>2942.4465347413256</v>
      </c>
      <c r="V564" s="170">
        <f t="shared" si="78"/>
        <v>511.08477238441765</v>
      </c>
      <c r="W564" s="170"/>
      <c r="X564" s="170"/>
      <c r="Y564" s="173">
        <f t="shared" si="79"/>
        <v>2942.4465347413256</v>
      </c>
      <c r="AA564" s="173">
        <f t="shared" si="75"/>
        <v>635</v>
      </c>
      <c r="AC564" s="173" t="s">
        <v>451</v>
      </c>
      <c r="AD564" s="173">
        <v>530</v>
      </c>
      <c r="AH564" s="173" t="e">
        <f t="shared" si="76"/>
        <v>#N/A</v>
      </c>
      <c r="AS564" s="173" t="e">
        <f t="shared" si="77"/>
        <v>#N/A</v>
      </c>
    </row>
    <row r="565" spans="1:45" s="173" customFormat="1" ht="36" customHeight="1" x14ac:dyDescent="0.9">
      <c r="A565" s="173">
        <v>1</v>
      </c>
      <c r="B565" s="91">
        <f>SUBTOTAL(103,$A$546:A565)</f>
        <v>20</v>
      </c>
      <c r="C565" s="90" t="s">
        <v>556</v>
      </c>
      <c r="D565" s="185" t="s">
        <v>315</v>
      </c>
      <c r="E565" s="185"/>
      <c r="F565" s="191" t="s">
        <v>319</v>
      </c>
      <c r="G565" s="185" t="s">
        <v>360</v>
      </c>
      <c r="H565" s="185">
        <v>4</v>
      </c>
      <c r="I565" s="186">
        <v>3904.9</v>
      </c>
      <c r="J565" s="186">
        <v>3572.3</v>
      </c>
      <c r="K565" s="186">
        <v>2529.9</v>
      </c>
      <c r="L565" s="187">
        <v>170</v>
      </c>
      <c r="M565" s="185" t="s">
        <v>271</v>
      </c>
      <c r="N565" s="185" t="s">
        <v>275</v>
      </c>
      <c r="O565" s="188" t="s">
        <v>1100</v>
      </c>
      <c r="P565" s="189">
        <v>4549323.9899999993</v>
      </c>
      <c r="Q565" s="189">
        <v>0</v>
      </c>
      <c r="R565" s="189">
        <v>0</v>
      </c>
      <c r="S565" s="189">
        <f t="shared" si="82"/>
        <v>4549323.9899999993</v>
      </c>
      <c r="T565" s="189">
        <f t="shared" si="74"/>
        <v>1165.0295756613484</v>
      </c>
      <c r="U565" s="189">
        <f t="shared" si="83"/>
        <v>1283.7532331173654</v>
      </c>
      <c r="V565" s="170">
        <f t="shared" si="78"/>
        <v>118.72365745601701</v>
      </c>
      <c r="W565" s="170"/>
      <c r="X565" s="170"/>
      <c r="Y565" s="173">
        <f t="shared" si="79"/>
        <v>1283.7532331173654</v>
      </c>
      <c r="AA565" s="173">
        <f t="shared" si="75"/>
        <v>960</v>
      </c>
      <c r="AC565" s="173" t="s">
        <v>452</v>
      </c>
      <c r="AD565" s="173">
        <v>396</v>
      </c>
      <c r="AH565" s="173" t="e">
        <f t="shared" si="76"/>
        <v>#N/A</v>
      </c>
      <c r="AS565" s="173" t="e">
        <f t="shared" si="77"/>
        <v>#N/A</v>
      </c>
    </row>
    <row r="566" spans="1:45" s="173" customFormat="1" ht="36" customHeight="1" x14ac:dyDescent="0.9">
      <c r="A566" s="173">
        <v>1</v>
      </c>
      <c r="B566" s="91">
        <f>SUBTOTAL(103,$A$546:A566)</f>
        <v>21</v>
      </c>
      <c r="C566" s="90" t="s">
        <v>557</v>
      </c>
      <c r="D566" s="185" t="s">
        <v>315</v>
      </c>
      <c r="E566" s="185"/>
      <c r="F566" s="191" t="s">
        <v>319</v>
      </c>
      <c r="G566" s="185" t="s">
        <v>360</v>
      </c>
      <c r="H566" s="185">
        <v>3</v>
      </c>
      <c r="I566" s="186">
        <v>3361</v>
      </c>
      <c r="J566" s="186">
        <v>2572.6</v>
      </c>
      <c r="K566" s="186">
        <v>1749.7</v>
      </c>
      <c r="L566" s="187">
        <v>133</v>
      </c>
      <c r="M566" s="185" t="s">
        <v>271</v>
      </c>
      <c r="N566" s="185" t="s">
        <v>275</v>
      </c>
      <c r="O566" s="188" t="s">
        <v>1100</v>
      </c>
      <c r="P566" s="189">
        <v>3661902.1799999997</v>
      </c>
      <c r="Q566" s="189">
        <v>0</v>
      </c>
      <c r="R566" s="189">
        <v>0</v>
      </c>
      <c r="S566" s="189">
        <f t="shared" si="82"/>
        <v>3661902.1799999997</v>
      </c>
      <c r="T566" s="189">
        <f t="shared" si="74"/>
        <v>1089.5275751264503</v>
      </c>
      <c r="U566" s="189">
        <f t="shared" si="83"/>
        <v>1204.0746801547159</v>
      </c>
      <c r="V566" s="170">
        <f t="shared" si="78"/>
        <v>114.54710502826561</v>
      </c>
      <c r="W566" s="170"/>
      <c r="X566" s="170"/>
      <c r="Y566" s="173">
        <f t="shared" si="79"/>
        <v>1204.0746801547159</v>
      </c>
      <c r="AA566" s="173">
        <f t="shared" si="75"/>
        <v>775</v>
      </c>
      <c r="AC566" s="173" t="s">
        <v>807</v>
      </c>
      <c r="AD566" s="173">
        <v>506</v>
      </c>
      <c r="AH566" s="173" t="e">
        <f t="shared" si="76"/>
        <v>#N/A</v>
      </c>
      <c r="AS566" s="173" t="e">
        <f t="shared" si="77"/>
        <v>#N/A</v>
      </c>
    </row>
    <row r="567" spans="1:45" s="173" customFormat="1" ht="36" customHeight="1" x14ac:dyDescent="0.9">
      <c r="A567" s="173">
        <v>1</v>
      </c>
      <c r="B567" s="91">
        <f>SUBTOTAL(103,$A$546:A567)</f>
        <v>22</v>
      </c>
      <c r="C567" s="90" t="s">
        <v>1428</v>
      </c>
      <c r="D567" s="185">
        <v>1965</v>
      </c>
      <c r="E567" s="185"/>
      <c r="F567" s="191" t="s">
        <v>273</v>
      </c>
      <c r="G567" s="185">
        <v>5</v>
      </c>
      <c r="H567" s="185">
        <v>4</v>
      </c>
      <c r="I567" s="186">
        <v>3647.4</v>
      </c>
      <c r="J567" s="186">
        <v>2512.3000000000002</v>
      </c>
      <c r="K567" s="186">
        <v>2436</v>
      </c>
      <c r="L567" s="187">
        <v>160</v>
      </c>
      <c r="M567" s="185" t="s">
        <v>271</v>
      </c>
      <c r="N567" s="185" t="s">
        <v>275</v>
      </c>
      <c r="O567" s="188" t="s">
        <v>1100</v>
      </c>
      <c r="P567" s="189">
        <v>5911583.5</v>
      </c>
      <c r="Q567" s="189">
        <v>0</v>
      </c>
      <c r="R567" s="189">
        <v>0</v>
      </c>
      <c r="S567" s="189">
        <f t="shared" si="82"/>
        <v>5911583.5</v>
      </c>
      <c r="T567" s="189">
        <f t="shared" si="74"/>
        <v>1620.7664363656302</v>
      </c>
      <c r="U567" s="189">
        <f t="shared" si="83"/>
        <v>1728.1446455009045</v>
      </c>
      <c r="V567" s="170">
        <f t="shared" si="78"/>
        <v>107.37820913527435</v>
      </c>
      <c r="W567" s="170"/>
      <c r="X567" s="170"/>
      <c r="Y567" s="173">
        <f t="shared" si="79"/>
        <v>1728.1446455009045</v>
      </c>
      <c r="AA567" s="173">
        <f t="shared" si="75"/>
        <v>1207.0999999999999</v>
      </c>
      <c r="AC567" s="173" t="s">
        <v>808</v>
      </c>
      <c r="AD567" s="173">
        <v>478</v>
      </c>
      <c r="AH567" s="173" t="e">
        <f t="shared" si="76"/>
        <v>#N/A</v>
      </c>
      <c r="AS567" s="173" t="e">
        <f t="shared" si="77"/>
        <v>#N/A</v>
      </c>
    </row>
    <row r="568" spans="1:45" s="173" customFormat="1" ht="36" customHeight="1" x14ac:dyDescent="0.9">
      <c r="A568" s="173">
        <v>1</v>
      </c>
      <c r="B568" s="91">
        <f>SUBTOTAL(103,$A$546:A568)</f>
        <v>23</v>
      </c>
      <c r="C568" s="90" t="s">
        <v>558</v>
      </c>
      <c r="D568" s="185">
        <v>1993</v>
      </c>
      <c r="E568" s="185"/>
      <c r="F568" s="191" t="s">
        <v>273</v>
      </c>
      <c r="G568" s="185">
        <v>9</v>
      </c>
      <c r="H568" s="185">
        <v>9</v>
      </c>
      <c r="I568" s="186">
        <v>14938</v>
      </c>
      <c r="J568" s="186">
        <v>12406</v>
      </c>
      <c r="K568" s="186">
        <v>5273.2</v>
      </c>
      <c r="L568" s="187">
        <v>330</v>
      </c>
      <c r="M568" s="185" t="s">
        <v>271</v>
      </c>
      <c r="N568" s="185" t="s">
        <v>275</v>
      </c>
      <c r="O568" s="188" t="s">
        <v>1116</v>
      </c>
      <c r="P568" s="189">
        <v>2178360.59</v>
      </c>
      <c r="Q568" s="189">
        <v>0</v>
      </c>
      <c r="R568" s="189">
        <v>0</v>
      </c>
      <c r="S568" s="189">
        <f t="shared" si="82"/>
        <v>2178360.59</v>
      </c>
      <c r="T568" s="189">
        <f t="shared" si="74"/>
        <v>145.82679006560448</v>
      </c>
      <c r="U568" s="189">
        <f>AR568</f>
        <v>147.77165617887266</v>
      </c>
      <c r="V568" s="170">
        <f t="shared" si="78"/>
        <v>1.9448661132681764</v>
      </c>
      <c r="W568" s="170"/>
      <c r="X568" s="170"/>
      <c r="Y568" s="173" t="e">
        <f t="shared" si="79"/>
        <v>#N/A</v>
      </c>
      <c r="AA568" s="173" t="e">
        <f t="shared" si="75"/>
        <v>#N/A</v>
      </c>
      <c r="AC568" s="173" t="s">
        <v>1104</v>
      </c>
      <c r="AD568" s="173">
        <v>627</v>
      </c>
      <c r="AH568" s="173" t="e">
        <f t="shared" si="76"/>
        <v>#N/A</v>
      </c>
      <c r="AR568" s="173">
        <f>AS568*2207413/I568</f>
        <v>147.77165617887266</v>
      </c>
      <c r="AS568" s="173">
        <f t="shared" si="77"/>
        <v>1</v>
      </c>
    </row>
    <row r="569" spans="1:45" s="173" customFormat="1" ht="36" customHeight="1" x14ac:dyDescent="0.9">
      <c r="A569" s="173">
        <v>1</v>
      </c>
      <c r="B569" s="91">
        <f>SUBTOTAL(103,$A$546:A569)</f>
        <v>24</v>
      </c>
      <c r="C569" s="90" t="s">
        <v>823</v>
      </c>
      <c r="D569" s="185">
        <v>1962</v>
      </c>
      <c r="E569" s="185"/>
      <c r="F569" s="191" t="s">
        <v>273</v>
      </c>
      <c r="G569" s="185">
        <v>4</v>
      </c>
      <c r="H569" s="185">
        <v>2</v>
      </c>
      <c r="I569" s="186">
        <v>1260.7</v>
      </c>
      <c r="J569" s="186">
        <v>979.2</v>
      </c>
      <c r="K569" s="186">
        <v>905.52</v>
      </c>
      <c r="L569" s="187">
        <v>83</v>
      </c>
      <c r="M569" s="185" t="s">
        <v>271</v>
      </c>
      <c r="N569" s="185" t="s">
        <v>305</v>
      </c>
      <c r="O569" s="188" t="s">
        <v>836</v>
      </c>
      <c r="P569" s="189">
        <v>3110127.71</v>
      </c>
      <c r="Q569" s="189">
        <v>0</v>
      </c>
      <c r="R569" s="189">
        <v>0</v>
      </c>
      <c r="S569" s="189">
        <f t="shared" si="82"/>
        <v>3110127.71</v>
      </c>
      <c r="T569" s="189">
        <f t="shared" si="74"/>
        <v>2466.9847782977708</v>
      </c>
      <c r="U569" s="189">
        <f>Y569</f>
        <v>2899.3892282065517</v>
      </c>
      <c r="V569" s="170">
        <f t="shared" si="78"/>
        <v>432.40444990878086</v>
      </c>
      <c r="W569" s="170"/>
      <c r="X569" s="170"/>
      <c r="Y569" s="173">
        <f t="shared" si="79"/>
        <v>2899.3892282065517</v>
      </c>
      <c r="AA569" s="173">
        <f t="shared" si="75"/>
        <v>700</v>
      </c>
      <c r="AC569" s="173" t="s">
        <v>812</v>
      </c>
      <c r="AD569" s="173">
        <v>1360</v>
      </c>
      <c r="AH569" s="173" t="e">
        <f t="shared" si="76"/>
        <v>#N/A</v>
      </c>
      <c r="AS569" s="173" t="e">
        <f t="shared" si="77"/>
        <v>#N/A</v>
      </c>
    </row>
    <row r="570" spans="1:45" s="173" customFormat="1" ht="36" customHeight="1" x14ac:dyDescent="0.9">
      <c r="A570" s="173">
        <v>1</v>
      </c>
      <c r="B570" s="91">
        <f>SUBTOTAL(103,$A$546:A570)</f>
        <v>25</v>
      </c>
      <c r="C570" s="90" t="s">
        <v>559</v>
      </c>
      <c r="D570" s="185" t="s">
        <v>318</v>
      </c>
      <c r="E570" s="185"/>
      <c r="F570" s="191" t="s">
        <v>273</v>
      </c>
      <c r="G570" s="185" t="s">
        <v>360</v>
      </c>
      <c r="H570" s="185">
        <v>1</v>
      </c>
      <c r="I570" s="186">
        <v>667.4</v>
      </c>
      <c r="J570" s="186">
        <v>486.4</v>
      </c>
      <c r="K570" s="186">
        <v>486.4</v>
      </c>
      <c r="L570" s="187">
        <v>29</v>
      </c>
      <c r="M570" s="185" t="s">
        <v>271</v>
      </c>
      <c r="N570" s="185" t="s">
        <v>275</v>
      </c>
      <c r="O570" s="188" t="s">
        <v>1410</v>
      </c>
      <c r="P570" s="189">
        <v>1126135.8999999999</v>
      </c>
      <c r="Q570" s="189">
        <v>0</v>
      </c>
      <c r="R570" s="189">
        <v>0</v>
      </c>
      <c r="S570" s="189">
        <f t="shared" si="82"/>
        <v>1126135.8999999999</v>
      </c>
      <c r="T570" s="189">
        <f t="shared" si="74"/>
        <v>1687.3477674557985</v>
      </c>
      <c r="U570" s="189">
        <f>T570</f>
        <v>1687.3477674557985</v>
      </c>
      <c r="V570" s="170">
        <f t="shared" si="78"/>
        <v>0</v>
      </c>
      <c r="W570" s="170"/>
      <c r="X570" s="170"/>
      <c r="Y570" s="173">
        <f t="shared" si="79"/>
        <v>1643.0596344021576</v>
      </c>
      <c r="AA570" s="173">
        <f t="shared" si="75"/>
        <v>210</v>
      </c>
      <c r="AC570" s="173" t="s">
        <v>813</v>
      </c>
      <c r="AD570" s="173">
        <v>649</v>
      </c>
      <c r="AH570" s="173" t="e">
        <f t="shared" si="76"/>
        <v>#N/A</v>
      </c>
      <c r="AS570" s="173" t="e">
        <f t="shared" si="77"/>
        <v>#N/A</v>
      </c>
    </row>
    <row r="571" spans="1:45" s="173" customFormat="1" ht="36" customHeight="1" x14ac:dyDescent="0.9">
      <c r="A571" s="173">
        <v>1</v>
      </c>
      <c r="B571" s="91">
        <f>SUBTOTAL(103,$A$546:A571)</f>
        <v>26</v>
      </c>
      <c r="C571" s="90" t="s">
        <v>560</v>
      </c>
      <c r="D571" s="185" t="s">
        <v>367</v>
      </c>
      <c r="E571" s="185"/>
      <c r="F571" s="191" t="s">
        <v>273</v>
      </c>
      <c r="G571" s="185" t="s">
        <v>316</v>
      </c>
      <c r="H571" s="185">
        <v>1</v>
      </c>
      <c r="I571" s="186">
        <v>1061.9000000000001</v>
      </c>
      <c r="J571" s="186">
        <v>977.4</v>
      </c>
      <c r="K571" s="186">
        <v>977.4</v>
      </c>
      <c r="L571" s="187">
        <v>25</v>
      </c>
      <c r="M571" s="185" t="s">
        <v>271</v>
      </c>
      <c r="N571" s="185" t="s">
        <v>275</v>
      </c>
      <c r="O571" s="188" t="s">
        <v>1410</v>
      </c>
      <c r="P571" s="189">
        <v>4057359.23</v>
      </c>
      <c r="Q571" s="189">
        <v>0</v>
      </c>
      <c r="R571" s="189">
        <v>0</v>
      </c>
      <c r="S571" s="189">
        <f t="shared" si="82"/>
        <v>4057359.23</v>
      </c>
      <c r="T571" s="189">
        <f t="shared" si="74"/>
        <v>3820.848695734061</v>
      </c>
      <c r="U571" s="189">
        <f>AG571</f>
        <v>5960.5412473910383</v>
      </c>
      <c r="V571" s="170">
        <f t="shared" si="78"/>
        <v>2139.6925516569772</v>
      </c>
      <c r="W571" s="170"/>
      <c r="X571" s="170"/>
      <c r="Y571" s="173" t="e">
        <f t="shared" si="79"/>
        <v>#N/A</v>
      </c>
      <c r="AA571" s="173" t="e">
        <f t="shared" si="75"/>
        <v>#N/A</v>
      </c>
      <c r="AC571" s="173" t="s">
        <v>814</v>
      </c>
      <c r="AD571" s="173">
        <v>660</v>
      </c>
      <c r="AG571" s="173">
        <f>AH571*6191.24/J571</f>
        <v>5960.5412473910383</v>
      </c>
      <c r="AH571" s="173">
        <f t="shared" si="76"/>
        <v>940.98</v>
      </c>
      <c r="AS571" s="173" t="e">
        <f t="shared" si="77"/>
        <v>#N/A</v>
      </c>
    </row>
    <row r="572" spans="1:45" s="173" customFormat="1" ht="36" customHeight="1" x14ac:dyDescent="0.9">
      <c r="A572" s="173">
        <v>1</v>
      </c>
      <c r="B572" s="91">
        <f>SUBTOTAL(103,$A$546:A572)</f>
        <v>27</v>
      </c>
      <c r="C572" s="90" t="s">
        <v>561</v>
      </c>
      <c r="D572" s="185" t="s">
        <v>368</v>
      </c>
      <c r="E572" s="185"/>
      <c r="F572" s="191" t="s">
        <v>273</v>
      </c>
      <c r="G572" s="185" t="s">
        <v>360</v>
      </c>
      <c r="H572" s="185">
        <v>2</v>
      </c>
      <c r="I572" s="186">
        <v>1953.8</v>
      </c>
      <c r="J572" s="186">
        <v>1724.7</v>
      </c>
      <c r="K572" s="186">
        <v>1572.5</v>
      </c>
      <c r="L572" s="187">
        <v>51</v>
      </c>
      <c r="M572" s="185" t="s">
        <v>271</v>
      </c>
      <c r="N572" s="185" t="s">
        <v>275</v>
      </c>
      <c r="O572" s="188" t="s">
        <v>1691</v>
      </c>
      <c r="P572" s="189">
        <v>2760412.39</v>
      </c>
      <c r="Q572" s="189">
        <v>0</v>
      </c>
      <c r="R572" s="189">
        <v>0</v>
      </c>
      <c r="S572" s="189">
        <f t="shared" si="82"/>
        <v>2760412.39</v>
      </c>
      <c r="T572" s="189">
        <f t="shared" si="74"/>
        <v>1412.8428651857919</v>
      </c>
      <c r="U572" s="189">
        <f>Y572</f>
        <v>1496.6772443443547</v>
      </c>
      <c r="V572" s="170">
        <f t="shared" si="78"/>
        <v>83.834379158562797</v>
      </c>
      <c r="W572" s="170"/>
      <c r="X572" s="170"/>
      <c r="Y572" s="173">
        <f t="shared" si="79"/>
        <v>1496.6772443443547</v>
      </c>
      <c r="AA572" s="173">
        <f t="shared" si="75"/>
        <v>560</v>
      </c>
      <c r="AC572" s="173" t="s">
        <v>816</v>
      </c>
      <c r="AD572" s="173">
        <v>2047.5</v>
      </c>
      <c r="AH572" s="173" t="e">
        <f t="shared" si="76"/>
        <v>#N/A</v>
      </c>
      <c r="AS572" s="173" t="e">
        <f t="shared" si="77"/>
        <v>#N/A</v>
      </c>
    </row>
    <row r="573" spans="1:45" s="173" customFormat="1" ht="36" customHeight="1" x14ac:dyDescent="0.9">
      <c r="A573" s="173">
        <v>1</v>
      </c>
      <c r="B573" s="91">
        <f>SUBTOTAL(103,$A$546:A573)</f>
        <v>28</v>
      </c>
      <c r="C573" s="90" t="s">
        <v>825</v>
      </c>
      <c r="D573" s="185">
        <v>1987</v>
      </c>
      <c r="E573" s="185"/>
      <c r="F573" s="191" t="s">
        <v>319</v>
      </c>
      <c r="G573" s="185">
        <v>9</v>
      </c>
      <c r="H573" s="185">
        <v>5</v>
      </c>
      <c r="I573" s="186">
        <v>9798</v>
      </c>
      <c r="J573" s="186">
        <v>9687.5</v>
      </c>
      <c r="K573" s="186">
        <v>9248.6</v>
      </c>
      <c r="L573" s="187">
        <v>489</v>
      </c>
      <c r="M573" s="185" t="s">
        <v>271</v>
      </c>
      <c r="N573" s="185" t="s">
        <v>275</v>
      </c>
      <c r="O573" s="188" t="s">
        <v>1410</v>
      </c>
      <c r="P573" s="189">
        <v>5592560.8499999996</v>
      </c>
      <c r="Q573" s="189">
        <v>0</v>
      </c>
      <c r="R573" s="189">
        <v>0</v>
      </c>
      <c r="S573" s="189">
        <f t="shared" si="82"/>
        <v>5592560.8499999996</v>
      </c>
      <c r="T573" s="189">
        <f t="shared" si="74"/>
        <v>570.78596142069807</v>
      </c>
      <c r="U573" s="189">
        <f>Y573</f>
        <v>741.32718922229026</v>
      </c>
      <c r="V573" s="170">
        <f t="shared" si="78"/>
        <v>170.54122780159219</v>
      </c>
      <c r="W573" s="170"/>
      <c r="X573" s="170"/>
      <c r="Y573" s="173">
        <f t="shared" si="79"/>
        <v>741.32718922229026</v>
      </c>
      <c r="AA573" s="173">
        <f t="shared" si="75"/>
        <v>1391</v>
      </c>
      <c r="AC573" s="173" t="s">
        <v>1649</v>
      </c>
      <c r="AD573" s="173">
        <v>380</v>
      </c>
      <c r="AH573" s="173" t="e">
        <f t="shared" si="76"/>
        <v>#N/A</v>
      </c>
      <c r="AS573" s="173" t="e">
        <f t="shared" si="77"/>
        <v>#N/A</v>
      </c>
    </row>
    <row r="574" spans="1:45" s="173" customFormat="1" ht="36" customHeight="1" x14ac:dyDescent="0.9">
      <c r="A574" s="173">
        <v>1</v>
      </c>
      <c r="B574" s="91">
        <f>SUBTOTAL(103,$A$546:A574)</f>
        <v>29</v>
      </c>
      <c r="C574" s="90" t="s">
        <v>562</v>
      </c>
      <c r="D574" s="185" t="s">
        <v>314</v>
      </c>
      <c r="E574" s="185"/>
      <c r="F574" s="191" t="s">
        <v>273</v>
      </c>
      <c r="G574" s="185" t="s">
        <v>360</v>
      </c>
      <c r="H574" s="185">
        <v>4</v>
      </c>
      <c r="I574" s="186">
        <v>3951</v>
      </c>
      <c r="J574" s="186">
        <v>3662.3</v>
      </c>
      <c r="K574" s="186">
        <v>2413.8000000000002</v>
      </c>
      <c r="L574" s="187">
        <v>103</v>
      </c>
      <c r="M574" s="185" t="s">
        <v>271</v>
      </c>
      <c r="N574" s="185" t="s">
        <v>275</v>
      </c>
      <c r="O574" s="188" t="s">
        <v>1101</v>
      </c>
      <c r="P574" s="189">
        <v>4005106.45</v>
      </c>
      <c r="Q574" s="189">
        <v>0</v>
      </c>
      <c r="R574" s="189">
        <v>0</v>
      </c>
      <c r="S574" s="189">
        <f t="shared" si="82"/>
        <v>4005106.45</v>
      </c>
      <c r="T574" s="189">
        <f t="shared" si="74"/>
        <v>1013.6943685143002</v>
      </c>
      <c r="U574" s="189">
        <f>Y574</f>
        <v>1086.3881548974944</v>
      </c>
      <c r="V574" s="170">
        <f t="shared" si="78"/>
        <v>72.693786383194151</v>
      </c>
      <c r="W574" s="170"/>
      <c r="X574" s="170"/>
      <c r="Y574" s="173">
        <f t="shared" si="79"/>
        <v>1086.3881548974944</v>
      </c>
      <c r="AA574" s="173">
        <f t="shared" si="75"/>
        <v>822</v>
      </c>
      <c r="AC574" s="173" t="s">
        <v>628</v>
      </c>
      <c r="AD574" s="173">
        <v>981</v>
      </c>
      <c r="AH574" s="173" t="e">
        <f t="shared" si="76"/>
        <v>#N/A</v>
      </c>
      <c r="AS574" s="173" t="e">
        <f t="shared" si="77"/>
        <v>#N/A</v>
      </c>
    </row>
    <row r="575" spans="1:45" s="173" customFormat="1" ht="36" customHeight="1" x14ac:dyDescent="0.9">
      <c r="A575" s="173">
        <v>1</v>
      </c>
      <c r="B575" s="91">
        <f>SUBTOTAL(103,$A$546:A575)</f>
        <v>30</v>
      </c>
      <c r="C575" s="90" t="s">
        <v>563</v>
      </c>
      <c r="D575" s="185" t="s">
        <v>370</v>
      </c>
      <c r="E575" s="185"/>
      <c r="F575" s="191" t="s">
        <v>273</v>
      </c>
      <c r="G575" s="185" t="s">
        <v>360</v>
      </c>
      <c r="H575" s="185">
        <v>3</v>
      </c>
      <c r="I575" s="186">
        <v>2747.2</v>
      </c>
      <c r="J575" s="186">
        <v>2475.6</v>
      </c>
      <c r="K575" s="186">
        <v>2231</v>
      </c>
      <c r="L575" s="187">
        <v>93</v>
      </c>
      <c r="M575" s="185" t="s">
        <v>271</v>
      </c>
      <c r="N575" s="185" t="s">
        <v>275</v>
      </c>
      <c r="O575" s="188" t="s">
        <v>1101</v>
      </c>
      <c r="P575" s="189">
        <v>4412836.3</v>
      </c>
      <c r="Q575" s="189">
        <v>0</v>
      </c>
      <c r="R575" s="189">
        <v>0</v>
      </c>
      <c r="S575" s="189">
        <f t="shared" si="82"/>
        <v>4412836.3</v>
      </c>
      <c r="T575" s="189">
        <f t="shared" si="74"/>
        <v>1606.3032542224812</v>
      </c>
      <c r="U575" s="189">
        <f>Y575</f>
        <v>1705.5624417588817</v>
      </c>
      <c r="V575" s="170">
        <f t="shared" si="78"/>
        <v>99.259187536400532</v>
      </c>
      <c r="W575" s="170"/>
      <c r="X575" s="170"/>
      <c r="Y575" s="173">
        <f t="shared" si="79"/>
        <v>1705.5624417588817</v>
      </c>
      <c r="AA575" s="173">
        <f t="shared" si="75"/>
        <v>897.3</v>
      </c>
      <c r="AC575" s="173" t="s">
        <v>629</v>
      </c>
      <c r="AD575" s="173">
        <v>1692.5</v>
      </c>
      <c r="AH575" s="173" t="e">
        <f t="shared" si="76"/>
        <v>#N/A</v>
      </c>
      <c r="AS575" s="173" t="e">
        <f t="shared" si="77"/>
        <v>#N/A</v>
      </c>
    </row>
    <row r="576" spans="1:45" s="173" customFormat="1" ht="36" customHeight="1" x14ac:dyDescent="0.9">
      <c r="A576" s="173">
        <v>1</v>
      </c>
      <c r="B576" s="91">
        <f>SUBTOTAL(103,$A$546:A576)</f>
        <v>31</v>
      </c>
      <c r="C576" s="90" t="s">
        <v>564</v>
      </c>
      <c r="D576" s="185" t="s">
        <v>314</v>
      </c>
      <c r="E576" s="185"/>
      <c r="F576" s="191" t="s">
        <v>273</v>
      </c>
      <c r="G576" s="185" t="s">
        <v>360</v>
      </c>
      <c r="H576" s="185">
        <v>2</v>
      </c>
      <c r="I576" s="186">
        <v>2023.4</v>
      </c>
      <c r="J576" s="186">
        <v>1578.8</v>
      </c>
      <c r="K576" s="186">
        <v>1536.2</v>
      </c>
      <c r="L576" s="187">
        <v>65</v>
      </c>
      <c r="M576" s="185" t="s">
        <v>271</v>
      </c>
      <c r="N576" s="185" t="s">
        <v>275</v>
      </c>
      <c r="O576" s="188" t="s">
        <v>1410</v>
      </c>
      <c r="P576" s="189">
        <v>4448638.5999999996</v>
      </c>
      <c r="Q576" s="189">
        <v>0</v>
      </c>
      <c r="R576" s="189">
        <v>0</v>
      </c>
      <c r="S576" s="189">
        <f t="shared" si="82"/>
        <v>4448638.5999999996</v>
      </c>
      <c r="T576" s="189">
        <f t="shared" si="74"/>
        <v>2198.5957299594738</v>
      </c>
      <c r="U576" s="189">
        <f>AG576</f>
        <v>4106.7748226501144</v>
      </c>
      <c r="V576" s="170">
        <f t="shared" si="78"/>
        <v>1908.1790926906406</v>
      </c>
      <c r="W576" s="170"/>
      <c r="X576" s="170"/>
      <c r="Y576" s="173" t="e">
        <f t="shared" si="79"/>
        <v>#N/A</v>
      </c>
      <c r="AA576" s="173" t="e">
        <f t="shared" si="75"/>
        <v>#N/A</v>
      </c>
      <c r="AC576" s="173" t="s">
        <v>633</v>
      </c>
      <c r="AD576" s="173">
        <v>1812</v>
      </c>
      <c r="AG576" s="173">
        <f>AH576*6191.24/J576</f>
        <v>4106.7748226501144</v>
      </c>
      <c r="AH576" s="173">
        <f t="shared" si="76"/>
        <v>1047.25</v>
      </c>
      <c r="AS576" s="173" t="e">
        <f t="shared" si="77"/>
        <v>#N/A</v>
      </c>
    </row>
    <row r="577" spans="1:45" s="173" customFormat="1" ht="36" customHeight="1" x14ac:dyDescent="0.9">
      <c r="A577" s="173">
        <v>1</v>
      </c>
      <c r="B577" s="91">
        <f>SUBTOTAL(103,$A$546:A577)</f>
        <v>32</v>
      </c>
      <c r="C577" s="90" t="s">
        <v>1675</v>
      </c>
      <c r="D577" s="185" t="s">
        <v>371</v>
      </c>
      <c r="E577" s="185"/>
      <c r="F577" s="191" t="s">
        <v>273</v>
      </c>
      <c r="G577" s="185" t="s">
        <v>311</v>
      </c>
      <c r="H577" s="185">
        <v>3</v>
      </c>
      <c r="I577" s="186">
        <v>506.1</v>
      </c>
      <c r="J577" s="186">
        <v>290.3</v>
      </c>
      <c r="K577" s="186">
        <v>290.3</v>
      </c>
      <c r="L577" s="187">
        <v>10</v>
      </c>
      <c r="M577" s="185" t="s">
        <v>271</v>
      </c>
      <c r="N577" s="185" t="s">
        <v>275</v>
      </c>
      <c r="O577" s="188" t="s">
        <v>1692</v>
      </c>
      <c r="P577" s="189">
        <v>2397304.5699999998</v>
      </c>
      <c r="Q577" s="189">
        <v>0</v>
      </c>
      <c r="R577" s="189">
        <v>0</v>
      </c>
      <c r="S577" s="189">
        <f t="shared" si="82"/>
        <v>2397304.5699999998</v>
      </c>
      <c r="T577" s="189">
        <f t="shared" si="74"/>
        <v>4736.8199367713887</v>
      </c>
      <c r="U577" s="189">
        <f>Y577</f>
        <v>5004.0960284528746</v>
      </c>
      <c r="V577" s="170">
        <f t="shared" si="78"/>
        <v>267.27609168148592</v>
      </c>
      <c r="W577" s="170"/>
      <c r="X577" s="170"/>
      <c r="Y577" s="173">
        <f t="shared" si="79"/>
        <v>5004.0960284528746</v>
      </c>
      <c r="AA577" s="173">
        <f t="shared" si="75"/>
        <v>485</v>
      </c>
      <c r="AC577" s="173" t="s">
        <v>651</v>
      </c>
      <c r="AD577" s="173">
        <v>1821.9</v>
      </c>
      <c r="AH577" s="173" t="e">
        <f t="shared" si="76"/>
        <v>#N/A</v>
      </c>
      <c r="AS577" s="173" t="e">
        <f t="shared" si="77"/>
        <v>#N/A</v>
      </c>
    </row>
    <row r="578" spans="1:45" s="173" customFormat="1" ht="36" customHeight="1" x14ac:dyDescent="0.9">
      <c r="A578" s="173">
        <v>1</v>
      </c>
      <c r="B578" s="91">
        <f>SUBTOTAL(103,$A$546:A578)</f>
        <v>33</v>
      </c>
      <c r="C578" s="90" t="s">
        <v>565</v>
      </c>
      <c r="D578" s="185" t="s">
        <v>372</v>
      </c>
      <c r="E578" s="185"/>
      <c r="F578" s="191" t="s">
        <v>373</v>
      </c>
      <c r="G578" s="185" t="s">
        <v>311</v>
      </c>
      <c r="H578" s="185">
        <v>2</v>
      </c>
      <c r="I578" s="186">
        <v>583.5</v>
      </c>
      <c r="J578" s="186">
        <v>558.1</v>
      </c>
      <c r="K578" s="186">
        <v>416.1</v>
      </c>
      <c r="L578" s="187">
        <v>35</v>
      </c>
      <c r="M578" s="185" t="s">
        <v>271</v>
      </c>
      <c r="N578" s="185" t="s">
        <v>275</v>
      </c>
      <c r="O578" s="188" t="s">
        <v>1693</v>
      </c>
      <c r="P578" s="189">
        <v>2564514.5199999996</v>
      </c>
      <c r="Q578" s="189">
        <v>0</v>
      </c>
      <c r="R578" s="189">
        <v>0</v>
      </c>
      <c r="S578" s="189">
        <f t="shared" si="82"/>
        <v>2564514.5199999996</v>
      </c>
      <c r="T578" s="189">
        <f t="shared" si="74"/>
        <v>4395.0548757497854</v>
      </c>
      <c r="U578" s="189">
        <f>Y578</f>
        <v>5423.1547557840622</v>
      </c>
      <c r="V578" s="170">
        <f t="shared" si="78"/>
        <v>1028.0998800342768</v>
      </c>
      <c r="W578" s="170"/>
      <c r="X578" s="170"/>
      <c r="Y578" s="173">
        <f t="shared" si="79"/>
        <v>5423.1547557840622</v>
      </c>
      <c r="AA578" s="173">
        <f t="shared" si="75"/>
        <v>606</v>
      </c>
      <c r="AC578" s="173" t="s">
        <v>655</v>
      </c>
      <c r="AD578" s="173">
        <v>880</v>
      </c>
      <c r="AH578" s="173" t="e">
        <f t="shared" si="76"/>
        <v>#N/A</v>
      </c>
      <c r="AS578" s="173" t="e">
        <f t="shared" si="77"/>
        <v>#N/A</v>
      </c>
    </row>
    <row r="579" spans="1:45" s="173" customFormat="1" ht="36" customHeight="1" x14ac:dyDescent="0.9">
      <c r="A579" s="173">
        <v>1</v>
      </c>
      <c r="B579" s="91">
        <f>SUBTOTAL(103,$A$546:A579)</f>
        <v>34</v>
      </c>
      <c r="C579" s="90" t="s">
        <v>1115</v>
      </c>
      <c r="D579" s="185">
        <v>1989</v>
      </c>
      <c r="E579" s="185"/>
      <c r="F579" s="191" t="s">
        <v>319</v>
      </c>
      <c r="G579" s="185">
        <v>9</v>
      </c>
      <c r="H579" s="185">
        <v>4</v>
      </c>
      <c r="I579" s="186">
        <v>8889.1</v>
      </c>
      <c r="J579" s="186">
        <v>7439.2</v>
      </c>
      <c r="K579" s="186">
        <v>7373</v>
      </c>
      <c r="L579" s="187">
        <v>357</v>
      </c>
      <c r="M579" s="185" t="s">
        <v>271</v>
      </c>
      <c r="N579" s="185" t="s">
        <v>275</v>
      </c>
      <c r="O579" s="188" t="s">
        <v>1116</v>
      </c>
      <c r="P579" s="189">
        <v>7818322.7199999997</v>
      </c>
      <c r="Q579" s="189">
        <v>0</v>
      </c>
      <c r="R579" s="189">
        <v>0</v>
      </c>
      <c r="S579" s="189">
        <f t="shared" si="82"/>
        <v>7818322.7199999997</v>
      </c>
      <c r="T579" s="189">
        <f t="shared" si="74"/>
        <v>879.54041691509815</v>
      </c>
      <c r="U579" s="189">
        <f>AR579</f>
        <v>993.31225883385264</v>
      </c>
      <c r="V579" s="170">
        <f t="shared" si="78"/>
        <v>113.77184191875449</v>
      </c>
      <c r="W579" s="170"/>
      <c r="X579" s="170"/>
      <c r="Y579" s="173" t="e">
        <f t="shared" si="79"/>
        <v>#N/A</v>
      </c>
      <c r="AA579" s="173" t="e">
        <f t="shared" si="75"/>
        <v>#N/A</v>
      </c>
      <c r="AC579" s="173" t="s">
        <v>654</v>
      </c>
      <c r="AD579" s="173">
        <v>825</v>
      </c>
      <c r="AH579" s="173" t="e">
        <f t="shared" si="76"/>
        <v>#N/A</v>
      </c>
      <c r="AR579" s="173">
        <f>AS579*2207413/I579</f>
        <v>993.31225883385264</v>
      </c>
      <c r="AS579" s="173">
        <f t="shared" si="77"/>
        <v>4</v>
      </c>
    </row>
    <row r="580" spans="1:45" s="173" customFormat="1" ht="36" customHeight="1" x14ac:dyDescent="0.9">
      <c r="A580" s="173">
        <v>1</v>
      </c>
      <c r="B580" s="91">
        <f>SUBTOTAL(103,$A$546:A580)</f>
        <v>35</v>
      </c>
      <c r="C580" s="90" t="s">
        <v>566</v>
      </c>
      <c r="D580" s="185">
        <v>1973</v>
      </c>
      <c r="E580" s="185"/>
      <c r="F580" s="191" t="s">
        <v>319</v>
      </c>
      <c r="G580" s="185">
        <v>9</v>
      </c>
      <c r="H580" s="185">
        <v>1</v>
      </c>
      <c r="I580" s="186">
        <v>1914.68</v>
      </c>
      <c r="J580" s="186">
        <v>1914.68</v>
      </c>
      <c r="K580" s="186">
        <v>1914.68</v>
      </c>
      <c r="L580" s="187">
        <v>130</v>
      </c>
      <c r="M580" s="185" t="s">
        <v>271</v>
      </c>
      <c r="N580" s="185" t="s">
        <v>275</v>
      </c>
      <c r="O580" s="188" t="s">
        <v>1412</v>
      </c>
      <c r="P580" s="189">
        <v>2176239</v>
      </c>
      <c r="Q580" s="189">
        <v>0</v>
      </c>
      <c r="R580" s="189">
        <v>0</v>
      </c>
      <c r="S580" s="189">
        <f t="shared" si="82"/>
        <v>2176239</v>
      </c>
      <c r="T580" s="189">
        <f t="shared" si="74"/>
        <v>1136.6071615100172</v>
      </c>
      <c r="U580" s="189">
        <f>AR580</f>
        <v>1152.8887333653665</v>
      </c>
      <c r="V580" s="170">
        <f t="shared" si="78"/>
        <v>16.281571855349284</v>
      </c>
      <c r="W580" s="170"/>
      <c r="X580" s="170"/>
      <c r="Y580" s="173" t="e">
        <f t="shared" si="79"/>
        <v>#N/A</v>
      </c>
      <c r="AA580" s="173" t="e">
        <f t="shared" si="75"/>
        <v>#N/A</v>
      </c>
      <c r="AC580" s="173" t="s">
        <v>660</v>
      </c>
      <c r="AD580" s="173">
        <v>846.6</v>
      </c>
      <c r="AH580" s="173" t="e">
        <f t="shared" si="76"/>
        <v>#N/A</v>
      </c>
      <c r="AR580" s="173">
        <f>AS580*2207413/I580</f>
        <v>1152.8887333653665</v>
      </c>
      <c r="AS580" s="173">
        <f t="shared" si="77"/>
        <v>1</v>
      </c>
    </row>
    <row r="581" spans="1:45" s="173" customFormat="1" ht="36" customHeight="1" x14ac:dyDescent="0.9">
      <c r="A581" s="173">
        <v>1</v>
      </c>
      <c r="B581" s="91">
        <f>SUBTOTAL(103,$A$546:A581)</f>
        <v>36</v>
      </c>
      <c r="C581" s="90" t="s">
        <v>567</v>
      </c>
      <c r="D581" s="185" t="s">
        <v>318</v>
      </c>
      <c r="E581" s="185"/>
      <c r="F581" s="191" t="s">
        <v>273</v>
      </c>
      <c r="G581" s="185" t="s">
        <v>320</v>
      </c>
      <c r="H581" s="185">
        <v>4</v>
      </c>
      <c r="I581" s="186">
        <v>2853</v>
      </c>
      <c r="J581" s="186">
        <v>1941.5</v>
      </c>
      <c r="K581" s="186">
        <v>1882.5</v>
      </c>
      <c r="L581" s="187">
        <v>96</v>
      </c>
      <c r="M581" s="185" t="s">
        <v>271</v>
      </c>
      <c r="N581" s="185" t="s">
        <v>275</v>
      </c>
      <c r="O581" s="188" t="s">
        <v>1410</v>
      </c>
      <c r="P581" s="189">
        <v>5133796.7</v>
      </c>
      <c r="Q581" s="189">
        <v>0</v>
      </c>
      <c r="R581" s="189">
        <v>0</v>
      </c>
      <c r="S581" s="189">
        <f t="shared" si="82"/>
        <v>5133796.7</v>
      </c>
      <c r="T581" s="189">
        <f t="shared" si="74"/>
        <v>1799.4380301437084</v>
      </c>
      <c r="U581" s="189">
        <f t="shared" ref="U581:U601" si="84">Y581</f>
        <v>2123.1293375394321</v>
      </c>
      <c r="V581" s="170">
        <f t="shared" si="78"/>
        <v>323.6913073957237</v>
      </c>
      <c r="W581" s="170"/>
      <c r="X581" s="170"/>
      <c r="Y581" s="173">
        <f t="shared" si="79"/>
        <v>2123.1293375394321</v>
      </c>
      <c r="AA581" s="173">
        <f t="shared" si="75"/>
        <v>1160</v>
      </c>
      <c r="AC581" s="173" t="s">
        <v>1120</v>
      </c>
      <c r="AD581" s="173">
        <v>857.4</v>
      </c>
      <c r="AH581" s="173" t="e">
        <f t="shared" si="76"/>
        <v>#N/A</v>
      </c>
      <c r="AS581" s="173" t="e">
        <f t="shared" si="77"/>
        <v>#N/A</v>
      </c>
    </row>
    <row r="582" spans="1:45" s="173" customFormat="1" ht="36" customHeight="1" x14ac:dyDescent="0.9">
      <c r="A582" s="173">
        <v>1</v>
      </c>
      <c r="B582" s="91">
        <f>SUBTOTAL(103,$A$546:A582)</f>
        <v>37</v>
      </c>
      <c r="C582" s="90" t="s">
        <v>568</v>
      </c>
      <c r="D582" s="185">
        <v>1985</v>
      </c>
      <c r="E582" s="185"/>
      <c r="F582" s="191" t="s">
        <v>319</v>
      </c>
      <c r="G582" s="185">
        <v>2</v>
      </c>
      <c r="H582" s="185">
        <v>2</v>
      </c>
      <c r="I582" s="186">
        <v>626.1</v>
      </c>
      <c r="J582" s="186">
        <v>586.4</v>
      </c>
      <c r="K582" s="186">
        <v>348.2</v>
      </c>
      <c r="L582" s="187">
        <v>43</v>
      </c>
      <c r="M582" s="185" t="s">
        <v>271</v>
      </c>
      <c r="N582" s="185" t="s">
        <v>275</v>
      </c>
      <c r="O582" s="188" t="s">
        <v>1410</v>
      </c>
      <c r="P582" s="189">
        <v>2171781.17</v>
      </c>
      <c r="Q582" s="189">
        <v>0</v>
      </c>
      <c r="R582" s="189">
        <v>0</v>
      </c>
      <c r="S582" s="189">
        <f t="shared" si="82"/>
        <v>2171781.17</v>
      </c>
      <c r="T582" s="189">
        <f t="shared" si="74"/>
        <v>3468.7448810094234</v>
      </c>
      <c r="U582" s="189">
        <f t="shared" si="84"/>
        <v>3607.9710589362721</v>
      </c>
      <c r="V582" s="170">
        <f t="shared" si="78"/>
        <v>139.22617792684878</v>
      </c>
      <c r="W582" s="170"/>
      <c r="X582" s="170"/>
      <c r="Y582" s="173">
        <f t="shared" si="79"/>
        <v>3607.9710589362721</v>
      </c>
      <c r="AA582" s="173">
        <f t="shared" si="75"/>
        <v>432.6</v>
      </c>
      <c r="AC582" s="173" t="s">
        <v>658</v>
      </c>
      <c r="AD582" s="173">
        <v>274.7</v>
      </c>
      <c r="AH582" s="173" t="e">
        <f t="shared" si="76"/>
        <v>#N/A</v>
      </c>
      <c r="AS582" s="173" t="e">
        <f t="shared" si="77"/>
        <v>#N/A</v>
      </c>
    </row>
    <row r="583" spans="1:45" s="173" customFormat="1" ht="36" customHeight="1" x14ac:dyDescent="0.9">
      <c r="A583" s="173">
        <v>1</v>
      </c>
      <c r="B583" s="91">
        <f>SUBTOTAL(103,$A$546:A583)</f>
        <v>38</v>
      </c>
      <c r="C583" s="90" t="s">
        <v>569</v>
      </c>
      <c r="D583" s="185" t="s">
        <v>310</v>
      </c>
      <c r="E583" s="185"/>
      <c r="F583" s="191" t="s">
        <v>273</v>
      </c>
      <c r="G583" s="185" t="s">
        <v>311</v>
      </c>
      <c r="H583" s="185">
        <v>1</v>
      </c>
      <c r="I583" s="186">
        <v>399.4</v>
      </c>
      <c r="J583" s="186">
        <v>354.1</v>
      </c>
      <c r="K583" s="186">
        <v>172.1</v>
      </c>
      <c r="L583" s="187">
        <v>23</v>
      </c>
      <c r="M583" s="185" t="s">
        <v>271</v>
      </c>
      <c r="N583" s="185" t="s">
        <v>275</v>
      </c>
      <c r="O583" s="188" t="s">
        <v>1694</v>
      </c>
      <c r="P583" s="189">
        <v>763048.75</v>
      </c>
      <c r="Q583" s="189">
        <v>0</v>
      </c>
      <c r="R583" s="189">
        <v>0</v>
      </c>
      <c r="S583" s="189">
        <f t="shared" si="82"/>
        <v>763048.75</v>
      </c>
      <c r="T583" s="189">
        <f t="shared" si="74"/>
        <v>1910.4876064096145</v>
      </c>
      <c r="U583" s="189">
        <f t="shared" si="84"/>
        <v>2429.1698547821734</v>
      </c>
      <c r="V583" s="170">
        <f t="shared" si="78"/>
        <v>518.68224837255889</v>
      </c>
      <c r="W583" s="170"/>
      <c r="X583" s="170"/>
      <c r="Y583" s="173">
        <f t="shared" si="79"/>
        <v>2429.1698547821734</v>
      </c>
      <c r="AA583" s="173">
        <f t="shared" si="75"/>
        <v>185.8</v>
      </c>
      <c r="AC583" s="173" t="s">
        <v>673</v>
      </c>
      <c r="AD583" s="173">
        <v>830</v>
      </c>
      <c r="AH583" s="173" t="e">
        <f t="shared" si="76"/>
        <v>#N/A</v>
      </c>
      <c r="AS583" s="173" t="e">
        <f t="shared" si="77"/>
        <v>#N/A</v>
      </c>
    </row>
    <row r="584" spans="1:45" s="173" customFormat="1" ht="36" customHeight="1" x14ac:dyDescent="0.9">
      <c r="A584" s="173">
        <v>1</v>
      </c>
      <c r="B584" s="91">
        <f>SUBTOTAL(103,$A$546:A584)</f>
        <v>39</v>
      </c>
      <c r="C584" s="90" t="s">
        <v>570</v>
      </c>
      <c r="D584" s="185">
        <v>1977</v>
      </c>
      <c r="E584" s="185"/>
      <c r="F584" s="191" t="s">
        <v>273</v>
      </c>
      <c r="G584" s="185">
        <v>2</v>
      </c>
      <c r="H584" s="185">
        <v>2</v>
      </c>
      <c r="I584" s="186">
        <v>814.4</v>
      </c>
      <c r="J584" s="186">
        <v>741</v>
      </c>
      <c r="K584" s="186">
        <v>629.70000000000005</v>
      </c>
      <c r="L584" s="187">
        <v>44</v>
      </c>
      <c r="M584" s="185" t="s">
        <v>271</v>
      </c>
      <c r="N584" s="185" t="s">
        <v>275</v>
      </c>
      <c r="O584" s="188" t="s">
        <v>1683</v>
      </c>
      <c r="P584" s="189">
        <v>2794940.58</v>
      </c>
      <c r="Q584" s="189">
        <v>0</v>
      </c>
      <c r="R584" s="189">
        <v>0</v>
      </c>
      <c r="S584" s="189">
        <f t="shared" si="82"/>
        <v>2794940.58</v>
      </c>
      <c r="T584" s="189">
        <f t="shared" si="74"/>
        <v>3431.9014980353636</v>
      </c>
      <c r="U584" s="189">
        <f t="shared" si="84"/>
        <v>4116.3993123772107</v>
      </c>
      <c r="V584" s="170">
        <f t="shared" si="78"/>
        <v>684.49781434184706</v>
      </c>
      <c r="W584" s="170"/>
      <c r="X584" s="170"/>
      <c r="Y584" s="173">
        <f t="shared" si="79"/>
        <v>4116.3993123772107</v>
      </c>
      <c r="AA584" s="173">
        <f t="shared" si="75"/>
        <v>642</v>
      </c>
      <c r="AC584" s="173" t="s">
        <v>676</v>
      </c>
      <c r="AD584" s="173">
        <v>883</v>
      </c>
      <c r="AH584" s="173" t="e">
        <f t="shared" si="76"/>
        <v>#N/A</v>
      </c>
      <c r="AS584" s="173" t="e">
        <f t="shared" si="77"/>
        <v>#N/A</v>
      </c>
    </row>
    <row r="585" spans="1:45" s="173" customFormat="1" ht="36" customHeight="1" x14ac:dyDescent="0.9">
      <c r="A585" s="173">
        <v>1</v>
      </c>
      <c r="B585" s="91">
        <f>SUBTOTAL(103,$A$546:A585)</f>
        <v>40</v>
      </c>
      <c r="C585" s="90" t="s">
        <v>824</v>
      </c>
      <c r="D585" s="185">
        <v>1963</v>
      </c>
      <c r="E585" s="185"/>
      <c r="F585" s="191" t="s">
        <v>273</v>
      </c>
      <c r="G585" s="185">
        <v>2</v>
      </c>
      <c r="H585" s="185">
        <v>1</v>
      </c>
      <c r="I585" s="186">
        <v>316.5</v>
      </c>
      <c r="J585" s="186">
        <v>207.1</v>
      </c>
      <c r="K585" s="186">
        <v>131.4</v>
      </c>
      <c r="L585" s="187">
        <v>24</v>
      </c>
      <c r="M585" s="185" t="s">
        <v>271</v>
      </c>
      <c r="N585" s="185" t="s">
        <v>275</v>
      </c>
      <c r="O585" s="188" t="s">
        <v>1694</v>
      </c>
      <c r="P585" s="189">
        <v>1584967.92</v>
      </c>
      <c r="Q585" s="189">
        <v>0</v>
      </c>
      <c r="R585" s="189">
        <v>0</v>
      </c>
      <c r="S585" s="189">
        <f t="shared" si="82"/>
        <v>1584967.92</v>
      </c>
      <c r="T585" s="189">
        <f t="shared" si="74"/>
        <v>5007.7975355450235</v>
      </c>
      <c r="U585" s="189">
        <f>T585</f>
        <v>5007.7975355450235</v>
      </c>
      <c r="V585" s="170">
        <f t="shared" si="78"/>
        <v>0</v>
      </c>
      <c r="W585" s="170"/>
      <c r="X585" s="170"/>
      <c r="Y585" s="173">
        <f t="shared" si="79"/>
        <v>4949.5734597156397</v>
      </c>
      <c r="AA585" s="173">
        <f t="shared" si="75"/>
        <v>300</v>
      </c>
      <c r="AC585" s="173" t="s">
        <v>697</v>
      </c>
      <c r="AD585" s="173">
        <v>1203</v>
      </c>
      <c r="AH585" s="173" t="e">
        <f t="shared" si="76"/>
        <v>#N/A</v>
      </c>
      <c r="AS585" s="173" t="e">
        <f t="shared" si="77"/>
        <v>#N/A</v>
      </c>
    </row>
    <row r="586" spans="1:45" s="173" customFormat="1" ht="36" customHeight="1" x14ac:dyDescent="0.9">
      <c r="A586" s="173">
        <v>1</v>
      </c>
      <c r="B586" s="91">
        <f>SUBTOTAL(103,$A$546:A586)</f>
        <v>41</v>
      </c>
      <c r="C586" s="90" t="s">
        <v>1660</v>
      </c>
      <c r="D586" s="185">
        <v>1985</v>
      </c>
      <c r="E586" s="185"/>
      <c r="F586" s="191" t="s">
        <v>273</v>
      </c>
      <c r="G586" s="185">
        <v>7</v>
      </c>
      <c r="H586" s="185">
        <v>6</v>
      </c>
      <c r="I586" s="186">
        <v>11373.5</v>
      </c>
      <c r="J586" s="186">
        <v>9429.1</v>
      </c>
      <c r="K586" s="186">
        <v>9031.2999999999993</v>
      </c>
      <c r="L586" s="187">
        <v>442</v>
      </c>
      <c r="M586" s="185" t="s">
        <v>271</v>
      </c>
      <c r="N586" s="185" t="s">
        <v>275</v>
      </c>
      <c r="O586" s="188" t="s">
        <v>1411</v>
      </c>
      <c r="P586" s="189">
        <v>9602513.2699999996</v>
      </c>
      <c r="Q586" s="189">
        <v>0</v>
      </c>
      <c r="R586" s="189">
        <v>0</v>
      </c>
      <c r="S586" s="189">
        <f t="shared" si="82"/>
        <v>9602513.2699999996</v>
      </c>
      <c r="T586" s="189">
        <f t="shared" si="74"/>
        <v>844.28832549347158</v>
      </c>
      <c r="U586" s="189">
        <f t="shared" si="84"/>
        <v>1055.9757330637008</v>
      </c>
      <c r="V586" s="170">
        <f t="shared" si="78"/>
        <v>211.6874075702292</v>
      </c>
      <c r="W586" s="170"/>
      <c r="X586" s="170"/>
      <c r="Y586" s="173">
        <f t="shared" si="79"/>
        <v>1055.9757330637008</v>
      </c>
      <c r="AA586" s="173">
        <f t="shared" si="75"/>
        <v>2300</v>
      </c>
      <c r="AC586" s="173" t="s">
        <v>704</v>
      </c>
      <c r="AD586" s="173">
        <v>628</v>
      </c>
      <c r="AH586" s="173" t="e">
        <f t="shared" si="76"/>
        <v>#N/A</v>
      </c>
      <c r="AS586" s="173" t="e">
        <f t="shared" si="77"/>
        <v>#N/A</v>
      </c>
    </row>
    <row r="587" spans="1:45" s="173" customFormat="1" ht="36" customHeight="1" x14ac:dyDescent="0.9">
      <c r="A587" s="173">
        <v>1</v>
      </c>
      <c r="B587" s="91">
        <f>SUBTOTAL(103,$A$546:A587)</f>
        <v>42</v>
      </c>
      <c r="C587" s="90" t="s">
        <v>571</v>
      </c>
      <c r="D587" s="185" t="s">
        <v>374</v>
      </c>
      <c r="E587" s="185"/>
      <c r="F587" s="191" t="s">
        <v>273</v>
      </c>
      <c r="G587" s="185" t="s">
        <v>366</v>
      </c>
      <c r="H587" s="185">
        <v>3</v>
      </c>
      <c r="I587" s="186">
        <v>6810.7</v>
      </c>
      <c r="J587" s="186">
        <v>6392</v>
      </c>
      <c r="K587" s="186">
        <v>6392</v>
      </c>
      <c r="L587" s="187">
        <v>287</v>
      </c>
      <c r="M587" s="185" t="s">
        <v>271</v>
      </c>
      <c r="N587" s="185" t="s">
        <v>275</v>
      </c>
      <c r="O587" s="188" t="s">
        <v>1691</v>
      </c>
      <c r="P587" s="189">
        <v>5877399.3300000001</v>
      </c>
      <c r="Q587" s="189">
        <v>0</v>
      </c>
      <c r="R587" s="189">
        <v>0</v>
      </c>
      <c r="S587" s="189">
        <f t="shared" si="82"/>
        <v>5877399.3300000001</v>
      </c>
      <c r="T587" s="189">
        <f t="shared" si="74"/>
        <v>862.96552924075354</v>
      </c>
      <c r="U587" s="189">
        <f t="shared" si="84"/>
        <v>920.04639758027815</v>
      </c>
      <c r="V587" s="170">
        <f t="shared" si="78"/>
        <v>57.080868339524613</v>
      </c>
      <c r="W587" s="170"/>
      <c r="X587" s="170"/>
      <c r="Y587" s="173">
        <f t="shared" si="79"/>
        <v>920.04639758027815</v>
      </c>
      <c r="AA587" s="173">
        <f t="shared" si="75"/>
        <v>1200</v>
      </c>
      <c r="AC587" s="173" t="s">
        <v>696</v>
      </c>
      <c r="AD587" s="173">
        <v>393</v>
      </c>
      <c r="AH587" s="173" t="e">
        <f t="shared" si="76"/>
        <v>#N/A</v>
      </c>
      <c r="AS587" s="173" t="e">
        <f t="shared" si="77"/>
        <v>#N/A</v>
      </c>
    </row>
    <row r="588" spans="1:45" s="173" customFormat="1" ht="36" customHeight="1" x14ac:dyDescent="0.9">
      <c r="A588" s="173">
        <v>1</v>
      </c>
      <c r="B588" s="91">
        <f>SUBTOTAL(103,$A$546:A588)</f>
        <v>43</v>
      </c>
      <c r="C588" s="90" t="s">
        <v>572</v>
      </c>
      <c r="D588" s="185">
        <v>1960</v>
      </c>
      <c r="E588" s="185"/>
      <c r="F588" s="191" t="s">
        <v>273</v>
      </c>
      <c r="G588" s="185">
        <v>2</v>
      </c>
      <c r="H588" s="185">
        <v>2</v>
      </c>
      <c r="I588" s="186">
        <v>614.9</v>
      </c>
      <c r="J588" s="186">
        <v>438</v>
      </c>
      <c r="K588" s="186">
        <v>438</v>
      </c>
      <c r="L588" s="187">
        <v>32</v>
      </c>
      <c r="M588" s="185" t="s">
        <v>271</v>
      </c>
      <c r="N588" s="185" t="s">
        <v>1695</v>
      </c>
      <c r="O588" s="188" t="s">
        <v>1350</v>
      </c>
      <c r="P588" s="189">
        <v>2102735.67</v>
      </c>
      <c r="Q588" s="189">
        <v>0</v>
      </c>
      <c r="R588" s="189">
        <v>0</v>
      </c>
      <c r="S588" s="189">
        <f t="shared" si="82"/>
        <v>2102735.67</v>
      </c>
      <c r="T588" s="189">
        <f t="shared" si="74"/>
        <v>3419.6384290128476</v>
      </c>
      <c r="U588" s="189">
        <f t="shared" si="84"/>
        <v>4101.6903561554727</v>
      </c>
      <c r="V588" s="170">
        <f t="shared" si="78"/>
        <v>682.05192714262512</v>
      </c>
      <c r="W588" s="170"/>
      <c r="X588" s="170"/>
      <c r="Y588" s="173">
        <f t="shared" si="79"/>
        <v>4101.6903561554727</v>
      </c>
      <c r="AA588" s="173">
        <f t="shared" si="75"/>
        <v>483</v>
      </c>
      <c r="AC588" s="173" t="s">
        <v>711</v>
      </c>
      <c r="AD588" s="173">
        <v>674.9</v>
      </c>
      <c r="AH588" s="173" t="e">
        <f t="shared" si="76"/>
        <v>#N/A</v>
      </c>
      <c r="AS588" s="173" t="e">
        <f t="shared" si="77"/>
        <v>#N/A</v>
      </c>
    </row>
    <row r="589" spans="1:45" s="173" customFormat="1" ht="36" customHeight="1" x14ac:dyDescent="0.9">
      <c r="A589" s="173">
        <v>1</v>
      </c>
      <c r="B589" s="91">
        <f>SUBTOTAL(103,$A$546:A589)</f>
        <v>44</v>
      </c>
      <c r="C589" s="90" t="s">
        <v>573</v>
      </c>
      <c r="D589" s="185" t="s">
        <v>375</v>
      </c>
      <c r="E589" s="185"/>
      <c r="F589" s="191" t="s">
        <v>373</v>
      </c>
      <c r="G589" s="185" t="s">
        <v>311</v>
      </c>
      <c r="H589" s="185">
        <v>2</v>
      </c>
      <c r="I589" s="186">
        <v>485.3</v>
      </c>
      <c r="J589" s="186">
        <v>445.3</v>
      </c>
      <c r="K589" s="186">
        <v>387.3</v>
      </c>
      <c r="L589" s="187">
        <v>32</v>
      </c>
      <c r="M589" s="185" t="s">
        <v>271</v>
      </c>
      <c r="N589" s="185" t="s">
        <v>275</v>
      </c>
      <c r="O589" s="188" t="s">
        <v>1694</v>
      </c>
      <c r="P589" s="189">
        <v>2323274.2000000002</v>
      </c>
      <c r="Q589" s="189">
        <v>0</v>
      </c>
      <c r="R589" s="189">
        <v>0</v>
      </c>
      <c r="S589" s="189">
        <f t="shared" si="82"/>
        <v>2323274.2000000002</v>
      </c>
      <c r="T589" s="189">
        <f t="shared" si="74"/>
        <v>4787.2948691531019</v>
      </c>
      <c r="U589" s="189">
        <f t="shared" si="84"/>
        <v>5446.6827941479496</v>
      </c>
      <c r="V589" s="170">
        <f t="shared" si="78"/>
        <v>659.38792499484771</v>
      </c>
      <c r="W589" s="170"/>
      <c r="X589" s="170"/>
      <c r="Y589" s="173">
        <f t="shared" si="79"/>
        <v>5446.6827941479496</v>
      </c>
      <c r="AA589" s="173">
        <f t="shared" si="75"/>
        <v>506.2</v>
      </c>
      <c r="AC589" s="173" t="s">
        <v>683</v>
      </c>
      <c r="AD589" s="173">
        <v>260.10000000000002</v>
      </c>
      <c r="AH589" s="173" t="e">
        <f t="shared" si="76"/>
        <v>#N/A</v>
      </c>
      <c r="AS589" s="173" t="e">
        <f t="shared" si="77"/>
        <v>#N/A</v>
      </c>
    </row>
    <row r="590" spans="1:45" s="173" customFormat="1" ht="36" customHeight="1" x14ac:dyDescent="0.9">
      <c r="A590" s="173">
        <v>1</v>
      </c>
      <c r="B590" s="91">
        <f>SUBTOTAL(103,$A$546:A590)</f>
        <v>45</v>
      </c>
      <c r="C590" s="90" t="s">
        <v>574</v>
      </c>
      <c r="D590" s="185" t="s">
        <v>376</v>
      </c>
      <c r="E590" s="185"/>
      <c r="F590" s="191" t="s">
        <v>319</v>
      </c>
      <c r="G590" s="185" t="s">
        <v>360</v>
      </c>
      <c r="H590" s="185">
        <v>4</v>
      </c>
      <c r="I590" s="186">
        <v>3872.2</v>
      </c>
      <c r="J590" s="186">
        <v>3548.5</v>
      </c>
      <c r="K590" s="186">
        <v>2382.6</v>
      </c>
      <c r="L590" s="187">
        <v>172</v>
      </c>
      <c r="M590" s="185" t="s">
        <v>271</v>
      </c>
      <c r="N590" s="185" t="s">
        <v>275</v>
      </c>
      <c r="O590" s="188" t="s">
        <v>1100</v>
      </c>
      <c r="P590" s="189">
        <v>4748603.68</v>
      </c>
      <c r="Q590" s="189">
        <v>0</v>
      </c>
      <c r="R590" s="189">
        <v>0</v>
      </c>
      <c r="S590" s="189">
        <f t="shared" si="82"/>
        <v>4748603.68</v>
      </c>
      <c r="T590" s="189">
        <f t="shared" ref="T590:T653" si="85">P590/I590</f>
        <v>1226.3322349052219</v>
      </c>
      <c r="U590" s="189">
        <f t="shared" si="84"/>
        <v>1294.5942874851505</v>
      </c>
      <c r="V590" s="170">
        <f t="shared" si="78"/>
        <v>68.26205257992865</v>
      </c>
      <c r="W590" s="170"/>
      <c r="X590" s="170"/>
      <c r="Y590" s="173">
        <f t="shared" si="79"/>
        <v>1294.5942874851505</v>
      </c>
      <c r="AA590" s="173">
        <f t="shared" si="75"/>
        <v>960</v>
      </c>
      <c r="AC590" s="173" t="s">
        <v>684</v>
      </c>
      <c r="AD590" s="173">
        <v>850</v>
      </c>
      <c r="AH590" s="173" t="e">
        <f t="shared" si="76"/>
        <v>#N/A</v>
      </c>
      <c r="AS590" s="173" t="e">
        <f t="shared" si="77"/>
        <v>#N/A</v>
      </c>
    </row>
    <row r="591" spans="1:45" s="173" customFormat="1" ht="36" customHeight="1" x14ac:dyDescent="0.9">
      <c r="A591" s="173">
        <v>1</v>
      </c>
      <c r="B591" s="91">
        <f>SUBTOTAL(103,$A$546:A591)</f>
        <v>46</v>
      </c>
      <c r="C591" s="90" t="s">
        <v>575</v>
      </c>
      <c r="D591" s="185" t="s">
        <v>370</v>
      </c>
      <c r="E591" s="185"/>
      <c r="F591" s="191" t="s">
        <v>273</v>
      </c>
      <c r="G591" s="185" t="s">
        <v>316</v>
      </c>
      <c r="H591" s="185">
        <v>3</v>
      </c>
      <c r="I591" s="186">
        <v>2170</v>
      </c>
      <c r="J591" s="186">
        <v>2000.7</v>
      </c>
      <c r="K591" s="186">
        <v>1948.1</v>
      </c>
      <c r="L591" s="187">
        <v>85</v>
      </c>
      <c r="M591" s="185" t="s">
        <v>271</v>
      </c>
      <c r="N591" s="185" t="s">
        <v>275</v>
      </c>
      <c r="O591" s="188" t="s">
        <v>1101</v>
      </c>
      <c r="P591" s="189">
        <v>3192730.04</v>
      </c>
      <c r="Q591" s="189">
        <v>0</v>
      </c>
      <c r="R591" s="189">
        <v>0</v>
      </c>
      <c r="S591" s="189">
        <f t="shared" si="82"/>
        <v>3192730.04</v>
      </c>
      <c r="T591" s="189">
        <f t="shared" si="85"/>
        <v>1471.3041658986176</v>
      </c>
      <c r="U591" s="189">
        <f t="shared" si="84"/>
        <v>1566.5400000000002</v>
      </c>
      <c r="V591" s="170">
        <f t="shared" si="78"/>
        <v>95.235834101382579</v>
      </c>
      <c r="W591" s="170"/>
      <c r="X591" s="170"/>
      <c r="Y591" s="173">
        <f t="shared" si="79"/>
        <v>1566.5400000000002</v>
      </c>
      <c r="AA591" s="173">
        <f t="shared" si="75"/>
        <v>651</v>
      </c>
      <c r="AC591" s="173" t="s">
        <v>709</v>
      </c>
      <c r="AD591" s="173">
        <v>550.5</v>
      </c>
      <c r="AH591" s="173" t="e">
        <f t="shared" si="76"/>
        <v>#N/A</v>
      </c>
      <c r="AS591" s="173" t="e">
        <f t="shared" si="77"/>
        <v>#N/A</v>
      </c>
    </row>
    <row r="592" spans="1:45" s="173" customFormat="1" ht="36" customHeight="1" x14ac:dyDescent="0.9">
      <c r="A592" s="173">
        <v>1</v>
      </c>
      <c r="B592" s="91">
        <f>SUBTOTAL(103,$A$546:A592)</f>
        <v>47</v>
      </c>
      <c r="C592" s="90" t="s">
        <v>576</v>
      </c>
      <c r="D592" s="185">
        <v>1981</v>
      </c>
      <c r="E592" s="185"/>
      <c r="F592" s="191" t="s">
        <v>273</v>
      </c>
      <c r="G592" s="185">
        <v>5</v>
      </c>
      <c r="H592" s="185">
        <v>1</v>
      </c>
      <c r="I592" s="186">
        <v>1247.5999999999999</v>
      </c>
      <c r="J592" s="186">
        <v>982.4</v>
      </c>
      <c r="K592" s="186">
        <v>982.4</v>
      </c>
      <c r="L592" s="187">
        <v>41</v>
      </c>
      <c r="M592" s="185" t="s">
        <v>271</v>
      </c>
      <c r="N592" s="185" t="s">
        <v>275</v>
      </c>
      <c r="O592" s="188" t="s">
        <v>1426</v>
      </c>
      <c r="P592" s="189">
        <v>1265842.2</v>
      </c>
      <c r="Q592" s="189">
        <v>0</v>
      </c>
      <c r="R592" s="189">
        <v>0</v>
      </c>
      <c r="S592" s="189">
        <f t="shared" si="82"/>
        <v>1265842.2</v>
      </c>
      <c r="T592" s="189">
        <f t="shared" si="85"/>
        <v>1014.6218339211287</v>
      </c>
      <c r="U592" s="189">
        <f t="shared" si="84"/>
        <v>1201.2316447579353</v>
      </c>
      <c r="V592" s="170">
        <f t="shared" si="78"/>
        <v>186.60981083680667</v>
      </c>
      <c r="W592" s="170"/>
      <c r="X592" s="170"/>
      <c r="Y592" s="173">
        <f t="shared" si="79"/>
        <v>1201.2316447579353</v>
      </c>
      <c r="AA592" s="173">
        <f t="shared" ref="AA592:AA655" si="86">VLOOKUP(C592,AC:AE,2,FALSE)</f>
        <v>287</v>
      </c>
      <c r="AC592" s="173" t="s">
        <v>692</v>
      </c>
      <c r="AD592" s="173">
        <v>950</v>
      </c>
      <c r="AH592" s="173" t="e">
        <f t="shared" ref="AH592:AH655" si="87">VLOOKUP(C592,AJ:AK,2,FALSE)</f>
        <v>#N/A</v>
      </c>
      <c r="AS592" s="173" t="e">
        <f t="shared" ref="AS592:AS655" si="88">VLOOKUP(C592,AU:AV,2,FALSE)</f>
        <v>#N/A</v>
      </c>
    </row>
    <row r="593" spans="1:45" s="173" customFormat="1" ht="36" customHeight="1" x14ac:dyDescent="0.9">
      <c r="A593" s="173">
        <v>1</v>
      </c>
      <c r="B593" s="91">
        <f>SUBTOTAL(103,$A$546:A593)</f>
        <v>48</v>
      </c>
      <c r="C593" s="90" t="s">
        <v>577</v>
      </c>
      <c r="D593" s="185" t="s">
        <v>325</v>
      </c>
      <c r="E593" s="185"/>
      <c r="F593" s="191" t="s">
        <v>273</v>
      </c>
      <c r="G593" s="185" t="s">
        <v>360</v>
      </c>
      <c r="H593" s="185">
        <v>1</v>
      </c>
      <c r="I593" s="186">
        <v>2919</v>
      </c>
      <c r="J593" s="186">
        <v>1755</v>
      </c>
      <c r="K593" s="186">
        <v>1549</v>
      </c>
      <c r="L593" s="187">
        <v>142</v>
      </c>
      <c r="M593" s="185" t="s">
        <v>271</v>
      </c>
      <c r="N593" s="185" t="s">
        <v>275</v>
      </c>
      <c r="O593" s="188" t="s">
        <v>1410</v>
      </c>
      <c r="P593" s="189">
        <v>3576070.0900000003</v>
      </c>
      <c r="Q593" s="189">
        <v>0</v>
      </c>
      <c r="R593" s="189">
        <v>0</v>
      </c>
      <c r="S593" s="189">
        <f t="shared" si="82"/>
        <v>3576070.0900000003</v>
      </c>
      <c r="T593" s="189">
        <f t="shared" si="85"/>
        <v>1225.1010928400137</v>
      </c>
      <c r="U593" s="189">
        <f t="shared" si="84"/>
        <v>1291.586022610483</v>
      </c>
      <c r="V593" s="170">
        <f t="shared" si="78"/>
        <v>66.484929770469307</v>
      </c>
      <c r="W593" s="170"/>
      <c r="X593" s="170"/>
      <c r="Y593" s="173">
        <f t="shared" si="79"/>
        <v>1291.586022610483</v>
      </c>
      <c r="AA593" s="173">
        <f t="shared" si="86"/>
        <v>722</v>
      </c>
      <c r="AC593" s="173" t="s">
        <v>678</v>
      </c>
      <c r="AD593" s="173">
        <v>550</v>
      </c>
      <c r="AH593" s="173" t="e">
        <f t="shared" si="87"/>
        <v>#N/A</v>
      </c>
      <c r="AS593" s="173" t="e">
        <f t="shared" si="88"/>
        <v>#N/A</v>
      </c>
    </row>
    <row r="594" spans="1:45" s="173" customFormat="1" ht="36" customHeight="1" x14ac:dyDescent="0.9">
      <c r="A594" s="173">
        <v>1</v>
      </c>
      <c r="B594" s="91">
        <f>SUBTOTAL(103,$A$546:A594)</f>
        <v>49</v>
      </c>
      <c r="C594" s="90" t="s">
        <v>578</v>
      </c>
      <c r="D594" s="185" t="s">
        <v>315</v>
      </c>
      <c r="E594" s="185"/>
      <c r="F594" s="191" t="s">
        <v>319</v>
      </c>
      <c r="G594" s="185" t="s">
        <v>360</v>
      </c>
      <c r="H594" s="185">
        <v>7</v>
      </c>
      <c r="I594" s="186">
        <v>8558.5</v>
      </c>
      <c r="J594" s="186">
        <v>6418.7</v>
      </c>
      <c r="K594" s="186">
        <v>5954.4</v>
      </c>
      <c r="L594" s="187">
        <v>300</v>
      </c>
      <c r="M594" s="185" t="s">
        <v>271</v>
      </c>
      <c r="N594" s="185" t="s">
        <v>275</v>
      </c>
      <c r="O594" s="188" t="s">
        <v>1410</v>
      </c>
      <c r="P594" s="189">
        <v>8216874.9699999997</v>
      </c>
      <c r="Q594" s="189">
        <v>0</v>
      </c>
      <c r="R594" s="189">
        <v>0</v>
      </c>
      <c r="S594" s="189">
        <f t="shared" si="82"/>
        <v>8216874.9699999997</v>
      </c>
      <c r="T594" s="189">
        <f t="shared" si="85"/>
        <v>960.08353917158377</v>
      </c>
      <c r="U594" s="189">
        <f t="shared" si="84"/>
        <v>1029.8999123678216</v>
      </c>
      <c r="V594" s="170">
        <f t="shared" si="78"/>
        <v>69.816373196237805</v>
      </c>
      <c r="W594" s="170"/>
      <c r="X594" s="170"/>
      <c r="Y594" s="173">
        <f t="shared" si="79"/>
        <v>1029.8999123678216</v>
      </c>
      <c r="AA594" s="173">
        <f t="shared" si="86"/>
        <v>1688</v>
      </c>
      <c r="AC594" s="173" t="s">
        <v>239</v>
      </c>
      <c r="AD594" s="173">
        <v>906</v>
      </c>
      <c r="AH594" s="173" t="e">
        <f t="shared" si="87"/>
        <v>#N/A</v>
      </c>
      <c r="AS594" s="173" t="e">
        <f t="shared" si="88"/>
        <v>#N/A</v>
      </c>
    </row>
    <row r="595" spans="1:45" s="173" customFormat="1" ht="36" customHeight="1" x14ac:dyDescent="0.9">
      <c r="A595" s="173">
        <v>1</v>
      </c>
      <c r="B595" s="91">
        <f>SUBTOTAL(103,$A$546:A595)</f>
        <v>50</v>
      </c>
      <c r="C595" s="90" t="s">
        <v>579</v>
      </c>
      <c r="D595" s="185" t="s">
        <v>314</v>
      </c>
      <c r="E595" s="185"/>
      <c r="F595" s="191" t="s">
        <v>273</v>
      </c>
      <c r="G595" s="185" t="s">
        <v>316</v>
      </c>
      <c r="H595" s="185">
        <v>3</v>
      </c>
      <c r="I595" s="186">
        <v>2920</v>
      </c>
      <c r="J595" s="186">
        <v>1821.75</v>
      </c>
      <c r="K595" s="186">
        <v>1787.35</v>
      </c>
      <c r="L595" s="187">
        <v>115</v>
      </c>
      <c r="M595" s="185" t="s">
        <v>271</v>
      </c>
      <c r="N595" s="185" t="s">
        <v>275</v>
      </c>
      <c r="O595" s="188" t="s">
        <v>1410</v>
      </c>
      <c r="P595" s="189">
        <v>5458332.7699999996</v>
      </c>
      <c r="Q595" s="189">
        <v>0</v>
      </c>
      <c r="R595" s="189">
        <v>0</v>
      </c>
      <c r="S595" s="189">
        <f t="shared" si="82"/>
        <v>5458332.7699999996</v>
      </c>
      <c r="T595" s="189">
        <f t="shared" si="85"/>
        <v>1869.2920445205477</v>
      </c>
      <c r="U595" s="189">
        <f t="shared" si="84"/>
        <v>2020.7650684931507</v>
      </c>
      <c r="V595" s="170">
        <f t="shared" ref="V595:V658" si="89">U595-T595</f>
        <v>151.47302397260296</v>
      </c>
      <c r="W595" s="170"/>
      <c r="X595" s="170"/>
      <c r="Y595" s="173">
        <f t="shared" ref="Y595:Y658" si="90">AA595*5221.8/I595</f>
        <v>2020.7650684931507</v>
      </c>
      <c r="AA595" s="173">
        <f t="shared" si="86"/>
        <v>1130</v>
      </c>
      <c r="AC595" s="173" t="s">
        <v>243</v>
      </c>
      <c r="AD595" s="173">
        <v>1563</v>
      </c>
      <c r="AH595" s="173" t="e">
        <f t="shared" si="87"/>
        <v>#N/A</v>
      </c>
      <c r="AS595" s="173" t="e">
        <f t="shared" si="88"/>
        <v>#N/A</v>
      </c>
    </row>
    <row r="596" spans="1:45" s="173" customFormat="1" ht="36" customHeight="1" x14ac:dyDescent="0.9">
      <c r="A596" s="173">
        <v>1</v>
      </c>
      <c r="B596" s="91">
        <f>SUBTOTAL(103,$A$546:A596)</f>
        <v>51</v>
      </c>
      <c r="C596" s="90" t="s">
        <v>1404</v>
      </c>
      <c r="D596" s="185">
        <v>1961</v>
      </c>
      <c r="E596" s="185"/>
      <c r="F596" s="191" t="s">
        <v>273</v>
      </c>
      <c r="G596" s="185" t="s">
        <v>360</v>
      </c>
      <c r="H596" s="185">
        <v>3</v>
      </c>
      <c r="I596" s="186">
        <v>2772</v>
      </c>
      <c r="J596" s="186">
        <v>2431.1</v>
      </c>
      <c r="K596" s="186">
        <v>2250.6999999999998</v>
      </c>
      <c r="L596" s="187">
        <v>125</v>
      </c>
      <c r="M596" s="185" t="s">
        <v>271</v>
      </c>
      <c r="N596" s="185" t="s">
        <v>275</v>
      </c>
      <c r="O596" s="188" t="s">
        <v>1411</v>
      </c>
      <c r="P596" s="189">
        <v>3614770.42</v>
      </c>
      <c r="Q596" s="189">
        <v>0</v>
      </c>
      <c r="R596" s="189">
        <v>0</v>
      </c>
      <c r="S596" s="189">
        <f t="shared" si="82"/>
        <v>3614770.42</v>
      </c>
      <c r="T596" s="189">
        <f t="shared" si="85"/>
        <v>1304.0297330447331</v>
      </c>
      <c r="U596" s="189">
        <f t="shared" si="84"/>
        <v>1424.1272727272728</v>
      </c>
      <c r="V596" s="170">
        <f t="shared" si="89"/>
        <v>120.09753968253972</v>
      </c>
      <c r="W596" s="170"/>
      <c r="X596" s="170"/>
      <c r="Y596" s="173">
        <f t="shared" si="90"/>
        <v>1424.1272727272728</v>
      </c>
      <c r="AA596" s="173">
        <f t="shared" si="86"/>
        <v>756</v>
      </c>
      <c r="AC596" s="173" t="s">
        <v>248</v>
      </c>
      <c r="AD596" s="173">
        <v>338.2</v>
      </c>
      <c r="AH596" s="173" t="e">
        <f t="shared" si="87"/>
        <v>#N/A</v>
      </c>
      <c r="AS596" s="173" t="e">
        <f t="shared" si="88"/>
        <v>#N/A</v>
      </c>
    </row>
    <row r="597" spans="1:45" s="173" customFormat="1" ht="36" customHeight="1" x14ac:dyDescent="0.9">
      <c r="A597" s="173">
        <v>1</v>
      </c>
      <c r="B597" s="91">
        <f>SUBTOTAL(103,$A$546:A597)</f>
        <v>52</v>
      </c>
      <c r="C597" s="90" t="s">
        <v>1405</v>
      </c>
      <c r="D597" s="185">
        <v>1994</v>
      </c>
      <c r="E597" s="185"/>
      <c r="F597" s="191" t="s">
        <v>273</v>
      </c>
      <c r="G597" s="185">
        <v>4</v>
      </c>
      <c r="H597" s="185">
        <v>3</v>
      </c>
      <c r="I597" s="186">
        <v>1861.8</v>
      </c>
      <c r="J597" s="186">
        <v>1644.3</v>
      </c>
      <c r="K597" s="186">
        <v>1644.3</v>
      </c>
      <c r="L597" s="187">
        <v>80</v>
      </c>
      <c r="M597" s="185" t="s">
        <v>271</v>
      </c>
      <c r="N597" s="185" t="s">
        <v>275</v>
      </c>
      <c r="O597" s="188" t="s">
        <v>1423</v>
      </c>
      <c r="P597" s="189">
        <v>3214943.65</v>
      </c>
      <c r="Q597" s="189">
        <v>0</v>
      </c>
      <c r="R597" s="189">
        <v>0</v>
      </c>
      <c r="S597" s="189">
        <f t="shared" si="82"/>
        <v>3214943.65</v>
      </c>
      <c r="T597" s="189">
        <f t="shared" si="85"/>
        <v>1726.793237726931</v>
      </c>
      <c r="U597" s="189">
        <f t="shared" si="84"/>
        <v>1879.1524331292298</v>
      </c>
      <c r="V597" s="170">
        <f t="shared" si="89"/>
        <v>152.35919540229884</v>
      </c>
      <c r="W597" s="170"/>
      <c r="X597" s="170"/>
      <c r="Y597" s="173">
        <f t="shared" si="90"/>
        <v>1879.1524331292298</v>
      </c>
      <c r="AA597" s="173">
        <f t="shared" si="86"/>
        <v>670</v>
      </c>
      <c r="AC597" s="173" t="s">
        <v>4</v>
      </c>
      <c r="AD597" s="173">
        <v>646.1</v>
      </c>
      <c r="AH597" s="173" t="e">
        <f t="shared" si="87"/>
        <v>#N/A</v>
      </c>
      <c r="AS597" s="173" t="e">
        <f t="shared" si="88"/>
        <v>#N/A</v>
      </c>
    </row>
    <row r="598" spans="1:45" s="173" customFormat="1" ht="36" customHeight="1" x14ac:dyDescent="0.9">
      <c r="A598" s="173">
        <v>1</v>
      </c>
      <c r="B598" s="91">
        <f>SUBTOTAL(103,$A$546:A598)</f>
        <v>53</v>
      </c>
      <c r="C598" s="90" t="s">
        <v>1406</v>
      </c>
      <c r="D598" s="185">
        <v>1917</v>
      </c>
      <c r="E598" s="185"/>
      <c r="F598" s="191" t="s">
        <v>273</v>
      </c>
      <c r="G598" s="185">
        <v>2</v>
      </c>
      <c r="H598" s="185">
        <v>1</v>
      </c>
      <c r="I598" s="186">
        <v>370.5</v>
      </c>
      <c r="J598" s="186">
        <v>370.5</v>
      </c>
      <c r="K598" s="186">
        <v>208.6</v>
      </c>
      <c r="L598" s="187">
        <v>22</v>
      </c>
      <c r="M598" s="185" t="s">
        <v>271</v>
      </c>
      <c r="N598" s="185" t="s">
        <v>275</v>
      </c>
      <c r="O598" s="188" t="s">
        <v>1424</v>
      </c>
      <c r="P598" s="189">
        <v>1335035.1000000001</v>
      </c>
      <c r="Q598" s="189">
        <v>0</v>
      </c>
      <c r="R598" s="189">
        <v>0</v>
      </c>
      <c r="S598" s="189">
        <f t="shared" si="82"/>
        <v>1335035.1000000001</v>
      </c>
      <c r="T598" s="189">
        <f t="shared" si="85"/>
        <v>3603.3336032388665</v>
      </c>
      <c r="U598" s="189">
        <f t="shared" si="84"/>
        <v>3834.2528744939277</v>
      </c>
      <c r="V598" s="170">
        <f t="shared" si="89"/>
        <v>230.91927125506118</v>
      </c>
      <c r="W598" s="170"/>
      <c r="X598" s="170"/>
      <c r="Y598" s="173">
        <f t="shared" si="90"/>
        <v>3834.2528744939277</v>
      </c>
      <c r="AA598" s="173">
        <f t="shared" si="86"/>
        <v>272.05</v>
      </c>
      <c r="AC598" s="173" t="s">
        <v>3</v>
      </c>
      <c r="AD598" s="173">
        <v>750</v>
      </c>
      <c r="AH598" s="173" t="e">
        <f t="shared" si="87"/>
        <v>#N/A</v>
      </c>
      <c r="AS598" s="173" t="e">
        <f t="shared" si="88"/>
        <v>#N/A</v>
      </c>
    </row>
    <row r="599" spans="1:45" s="173" customFormat="1" ht="36" customHeight="1" x14ac:dyDescent="0.9">
      <c r="A599" s="173">
        <v>1</v>
      </c>
      <c r="B599" s="91">
        <f>SUBTOTAL(103,$A$546:A599)</f>
        <v>54</v>
      </c>
      <c r="C599" s="90" t="s">
        <v>1407</v>
      </c>
      <c r="D599" s="185">
        <v>1917</v>
      </c>
      <c r="E599" s="185"/>
      <c r="F599" s="191" t="s">
        <v>273</v>
      </c>
      <c r="G599" s="185">
        <v>3</v>
      </c>
      <c r="H599" s="185">
        <v>2</v>
      </c>
      <c r="I599" s="186">
        <v>1376.9</v>
      </c>
      <c r="J599" s="186">
        <v>779.2</v>
      </c>
      <c r="K599" s="186">
        <v>660.2</v>
      </c>
      <c r="L599" s="187">
        <v>50</v>
      </c>
      <c r="M599" s="185" t="s">
        <v>271</v>
      </c>
      <c r="N599" s="185" t="s">
        <v>275</v>
      </c>
      <c r="O599" s="188" t="s">
        <v>1410</v>
      </c>
      <c r="P599" s="189">
        <v>4219164.3499999996</v>
      </c>
      <c r="Q599" s="189">
        <v>0</v>
      </c>
      <c r="R599" s="189">
        <v>0</v>
      </c>
      <c r="S599" s="189">
        <f t="shared" si="82"/>
        <v>4219164.3499999996</v>
      </c>
      <c r="T599" s="189">
        <f t="shared" si="85"/>
        <v>3064.2489287529952</v>
      </c>
      <c r="U599" s="189">
        <f t="shared" si="84"/>
        <v>3360.0949960055191</v>
      </c>
      <c r="V599" s="170">
        <f t="shared" si="89"/>
        <v>295.84606725252388</v>
      </c>
      <c r="W599" s="170"/>
      <c r="X599" s="170"/>
      <c r="Y599" s="173">
        <f t="shared" si="90"/>
        <v>3360.0949960055191</v>
      </c>
      <c r="AA599" s="173">
        <f t="shared" si="86"/>
        <v>886</v>
      </c>
      <c r="AC599" s="173" t="s">
        <v>719</v>
      </c>
      <c r="AD599" s="173">
        <v>440</v>
      </c>
      <c r="AH599" s="173" t="e">
        <f t="shared" si="87"/>
        <v>#N/A</v>
      </c>
      <c r="AS599" s="173" t="e">
        <f t="shared" si="88"/>
        <v>#N/A</v>
      </c>
    </row>
    <row r="600" spans="1:45" s="173" customFormat="1" ht="36" customHeight="1" x14ac:dyDescent="0.9">
      <c r="A600" s="173">
        <v>1</v>
      </c>
      <c r="B600" s="91">
        <f>SUBTOTAL(103,$A$546:A600)</f>
        <v>55</v>
      </c>
      <c r="C600" s="90" t="s">
        <v>1408</v>
      </c>
      <c r="D600" s="185">
        <v>1961</v>
      </c>
      <c r="E600" s="185"/>
      <c r="F600" s="191" t="s">
        <v>273</v>
      </c>
      <c r="G600" s="185" t="s">
        <v>316</v>
      </c>
      <c r="H600" s="185">
        <v>2</v>
      </c>
      <c r="I600" s="186">
        <v>1130.4000000000001</v>
      </c>
      <c r="J600" s="186">
        <v>1044.5999999999999</v>
      </c>
      <c r="K600" s="186">
        <v>1044.5999999999999</v>
      </c>
      <c r="L600" s="187">
        <v>65</v>
      </c>
      <c r="M600" s="185" t="s">
        <v>271</v>
      </c>
      <c r="N600" s="185" t="s">
        <v>275</v>
      </c>
      <c r="O600" s="188" t="s">
        <v>1425</v>
      </c>
      <c r="P600" s="189">
        <v>3028742.06</v>
      </c>
      <c r="Q600" s="189">
        <v>0</v>
      </c>
      <c r="R600" s="189">
        <v>0</v>
      </c>
      <c r="S600" s="189">
        <f t="shared" si="82"/>
        <v>3028742.06</v>
      </c>
      <c r="T600" s="189">
        <f t="shared" si="85"/>
        <v>2679.3542639773532</v>
      </c>
      <c r="U600" s="189">
        <f t="shared" si="84"/>
        <v>2910.2388535031846</v>
      </c>
      <c r="V600" s="170">
        <f t="shared" si="89"/>
        <v>230.88458952583142</v>
      </c>
      <c r="W600" s="170"/>
      <c r="X600" s="170"/>
      <c r="Y600" s="173">
        <f t="shared" si="90"/>
        <v>2910.2388535031846</v>
      </c>
      <c r="AA600" s="173">
        <f t="shared" si="86"/>
        <v>630</v>
      </c>
      <c r="AC600" s="173" t="s">
        <v>717</v>
      </c>
      <c r="AD600" s="173">
        <v>416</v>
      </c>
      <c r="AH600" s="173" t="e">
        <f t="shared" si="87"/>
        <v>#N/A</v>
      </c>
      <c r="AS600" s="173" t="e">
        <f t="shared" si="88"/>
        <v>#N/A</v>
      </c>
    </row>
    <row r="601" spans="1:45" s="173" customFormat="1" ht="36" customHeight="1" x14ac:dyDescent="0.9">
      <c r="A601" s="173">
        <v>1</v>
      </c>
      <c r="B601" s="91">
        <f>SUBTOTAL(103,$A$546:A601)</f>
        <v>56</v>
      </c>
      <c r="C601" s="90" t="s">
        <v>496</v>
      </c>
      <c r="D601" s="185">
        <v>1969</v>
      </c>
      <c r="E601" s="185"/>
      <c r="F601" s="191" t="s">
        <v>273</v>
      </c>
      <c r="G601" s="185">
        <v>5</v>
      </c>
      <c r="H601" s="185">
        <v>4</v>
      </c>
      <c r="I601" s="186">
        <v>4124.2</v>
      </c>
      <c r="J601" s="186">
        <v>3012</v>
      </c>
      <c r="K601" s="186">
        <v>2927.7</v>
      </c>
      <c r="L601" s="187">
        <v>141</v>
      </c>
      <c r="M601" s="185" t="s">
        <v>271</v>
      </c>
      <c r="N601" s="185" t="s">
        <v>275</v>
      </c>
      <c r="O601" s="188" t="s">
        <v>1116</v>
      </c>
      <c r="P601" s="189">
        <v>3923557.16</v>
      </c>
      <c r="Q601" s="189">
        <v>0</v>
      </c>
      <c r="R601" s="189">
        <v>0</v>
      </c>
      <c r="S601" s="189">
        <f t="shared" si="82"/>
        <v>3923557.16</v>
      </c>
      <c r="T601" s="189">
        <f t="shared" si="85"/>
        <v>951.34987633965386</v>
      </c>
      <c r="U601" s="189">
        <f t="shared" si="84"/>
        <v>1379.5822898986469</v>
      </c>
      <c r="V601" s="170">
        <f t="shared" si="89"/>
        <v>428.23241355899302</v>
      </c>
      <c r="W601" s="170"/>
      <c r="X601" s="170"/>
      <c r="Y601" s="173">
        <f t="shared" si="90"/>
        <v>1379.5822898986469</v>
      </c>
      <c r="AA601" s="173">
        <f t="shared" si="86"/>
        <v>1089.5999999999999</v>
      </c>
      <c r="AC601" s="173" t="s">
        <v>725</v>
      </c>
      <c r="AD601" s="173">
        <v>975.8</v>
      </c>
      <c r="AH601" s="173" t="e">
        <f t="shared" si="87"/>
        <v>#N/A</v>
      </c>
      <c r="AS601" s="173" t="e">
        <f t="shared" si="88"/>
        <v>#N/A</v>
      </c>
    </row>
    <row r="602" spans="1:45" s="173" customFormat="1" ht="36" customHeight="1" x14ac:dyDescent="0.9">
      <c r="A602" s="173">
        <v>1</v>
      </c>
      <c r="B602" s="91">
        <f>SUBTOTAL(103,$A$546:A602)</f>
        <v>57</v>
      </c>
      <c r="C602" s="90" t="s">
        <v>510</v>
      </c>
      <c r="D602" s="185">
        <v>1960</v>
      </c>
      <c r="E602" s="185"/>
      <c r="F602" s="191" t="s">
        <v>273</v>
      </c>
      <c r="G602" s="185">
        <v>5</v>
      </c>
      <c r="H602" s="185">
        <v>3</v>
      </c>
      <c r="I602" s="186">
        <v>3202.4</v>
      </c>
      <c r="J602" s="186">
        <v>2438.8000000000002</v>
      </c>
      <c r="K602" s="186">
        <v>2307.6</v>
      </c>
      <c r="L602" s="187">
        <v>127</v>
      </c>
      <c r="M602" s="185" t="s">
        <v>271</v>
      </c>
      <c r="N602" s="185" t="s">
        <v>275</v>
      </c>
      <c r="O602" s="188" t="s">
        <v>1116</v>
      </c>
      <c r="P602" s="189">
        <v>6662526.4900000002</v>
      </c>
      <c r="Q602" s="189">
        <v>0</v>
      </c>
      <c r="R602" s="189">
        <v>0</v>
      </c>
      <c r="S602" s="189">
        <f t="shared" si="82"/>
        <v>6662526.4900000002</v>
      </c>
      <c r="T602" s="189">
        <f t="shared" si="85"/>
        <v>2080.4791687484385</v>
      </c>
      <c r="U602" s="189">
        <f>AG602</f>
        <v>5082.3611940298506</v>
      </c>
      <c r="V602" s="170">
        <f t="shared" si="89"/>
        <v>3001.8820252814121</v>
      </c>
      <c r="W602" s="170"/>
      <c r="X602" s="170"/>
      <c r="Y602" s="173" t="e">
        <f t="shared" si="90"/>
        <v>#N/A</v>
      </c>
      <c r="AA602" s="173" t="e">
        <f t="shared" si="86"/>
        <v>#N/A</v>
      </c>
      <c r="AC602" s="173" t="s">
        <v>723</v>
      </c>
      <c r="AD602" s="173">
        <v>945</v>
      </c>
      <c r="AG602" s="173">
        <f>AH602*6191.24/J602</f>
        <v>5082.3611940298506</v>
      </c>
      <c r="AH602" s="173">
        <f t="shared" si="87"/>
        <v>2002</v>
      </c>
      <c r="AS602" s="173" t="e">
        <f t="shared" si="88"/>
        <v>#N/A</v>
      </c>
    </row>
    <row r="603" spans="1:45" s="173" customFormat="1" ht="36" customHeight="1" x14ac:dyDescent="0.9">
      <c r="A603" s="173">
        <v>1</v>
      </c>
      <c r="B603" s="91">
        <f>SUBTOTAL(103,$A$546:A603)</f>
        <v>58</v>
      </c>
      <c r="C603" s="90" t="s">
        <v>1093</v>
      </c>
      <c r="D603" s="185">
        <v>1941</v>
      </c>
      <c r="E603" s="185"/>
      <c r="F603" s="191" t="s">
        <v>273</v>
      </c>
      <c r="G603" s="185">
        <v>3</v>
      </c>
      <c r="H603" s="185">
        <v>2</v>
      </c>
      <c r="I603" s="186">
        <v>1259.5999999999999</v>
      </c>
      <c r="J603" s="186">
        <v>1105.5</v>
      </c>
      <c r="K603" s="186">
        <v>1105.5</v>
      </c>
      <c r="L603" s="187">
        <v>57</v>
      </c>
      <c r="M603" s="185" t="s">
        <v>271</v>
      </c>
      <c r="N603" s="185" t="s">
        <v>275</v>
      </c>
      <c r="O603" s="188" t="s">
        <v>1101</v>
      </c>
      <c r="P603" s="189">
        <v>3068875</v>
      </c>
      <c r="Q603" s="189">
        <v>0</v>
      </c>
      <c r="R603" s="189">
        <v>0</v>
      </c>
      <c r="S603" s="189">
        <f t="shared" si="82"/>
        <v>3068875</v>
      </c>
      <c r="T603" s="189">
        <f t="shared" si="85"/>
        <v>2436.3885360431887</v>
      </c>
      <c r="U603" s="189">
        <f>AG603</f>
        <v>4816.3422885572136</v>
      </c>
      <c r="V603" s="170">
        <f t="shared" si="89"/>
        <v>2379.9537525140249</v>
      </c>
      <c r="W603" s="170"/>
      <c r="X603" s="170"/>
      <c r="Y603" s="173" t="e">
        <f t="shared" si="90"/>
        <v>#N/A</v>
      </c>
      <c r="AA603" s="173" t="e">
        <f t="shared" si="86"/>
        <v>#N/A</v>
      </c>
      <c r="AC603" s="173" t="s">
        <v>720</v>
      </c>
      <c r="AD603" s="173">
        <v>398</v>
      </c>
      <c r="AG603" s="173">
        <f>AH603*6191.24/J603</f>
        <v>4816.3422885572136</v>
      </c>
      <c r="AH603" s="173">
        <f t="shared" si="87"/>
        <v>860</v>
      </c>
      <c r="AS603" s="173" t="e">
        <f t="shared" si="88"/>
        <v>#N/A</v>
      </c>
    </row>
    <row r="604" spans="1:45" s="173" customFormat="1" ht="36" customHeight="1" x14ac:dyDescent="0.9">
      <c r="A604" s="173">
        <v>1</v>
      </c>
      <c r="B604" s="91">
        <f>SUBTOTAL(103,$A$546:A604)</f>
        <v>59</v>
      </c>
      <c r="C604" s="90" t="s">
        <v>1427</v>
      </c>
      <c r="D604" s="185">
        <v>1961</v>
      </c>
      <c r="E604" s="185"/>
      <c r="F604" s="191" t="s">
        <v>273</v>
      </c>
      <c r="G604" s="185">
        <v>5</v>
      </c>
      <c r="H604" s="185">
        <v>3</v>
      </c>
      <c r="I604" s="186">
        <v>2564.1</v>
      </c>
      <c r="J604" s="186">
        <v>2365.9</v>
      </c>
      <c r="K604" s="186">
        <v>2308.6</v>
      </c>
      <c r="L604" s="187">
        <v>130</v>
      </c>
      <c r="M604" s="185" t="s">
        <v>271</v>
      </c>
      <c r="N604" s="185" t="s">
        <v>275</v>
      </c>
      <c r="O604" s="188" t="s">
        <v>1411</v>
      </c>
      <c r="P604" s="189">
        <v>3884747.5999999996</v>
      </c>
      <c r="Q604" s="189">
        <v>0</v>
      </c>
      <c r="R604" s="189">
        <v>0</v>
      </c>
      <c r="S604" s="189">
        <f t="shared" si="82"/>
        <v>3884747.5999999996</v>
      </c>
      <c r="T604" s="189">
        <f t="shared" si="85"/>
        <v>1515.053079053079</v>
      </c>
      <c r="U604" s="189">
        <f>Y604</f>
        <v>1692.538504738505</v>
      </c>
      <c r="V604" s="170">
        <f t="shared" si="89"/>
        <v>177.48542568542598</v>
      </c>
      <c r="W604" s="170"/>
      <c r="X604" s="170"/>
      <c r="Y604" s="173">
        <f t="shared" si="90"/>
        <v>1692.538504738505</v>
      </c>
      <c r="AA604" s="173">
        <f t="shared" si="86"/>
        <v>831.1</v>
      </c>
      <c r="AC604" s="173" t="s">
        <v>135</v>
      </c>
      <c r="AD604" s="173">
        <v>1175</v>
      </c>
      <c r="AH604" s="173" t="e">
        <f t="shared" si="87"/>
        <v>#N/A</v>
      </c>
      <c r="AS604" s="173" t="e">
        <f t="shared" si="88"/>
        <v>#N/A</v>
      </c>
    </row>
    <row r="605" spans="1:45" s="173" customFormat="1" ht="36" customHeight="1" x14ac:dyDescent="0.9">
      <c r="A605" s="173">
        <v>1</v>
      </c>
      <c r="B605" s="91">
        <f>SUBTOTAL(103,$A$546:A605)</f>
        <v>60</v>
      </c>
      <c r="C605" s="90" t="s">
        <v>1400</v>
      </c>
      <c r="D605" s="185">
        <v>1973</v>
      </c>
      <c r="E605" s="185"/>
      <c r="F605" s="191" t="s">
        <v>273</v>
      </c>
      <c r="G605" s="185">
        <v>9</v>
      </c>
      <c r="H605" s="185">
        <v>1</v>
      </c>
      <c r="I605" s="186">
        <v>1958.4</v>
      </c>
      <c r="J605" s="186">
        <v>1941.8</v>
      </c>
      <c r="K605" s="186">
        <v>1860.4</v>
      </c>
      <c r="L605" s="187">
        <v>135</v>
      </c>
      <c r="M605" s="185" t="s">
        <v>271</v>
      </c>
      <c r="N605" s="185" t="s">
        <v>275</v>
      </c>
      <c r="O605" s="188" t="s">
        <v>1412</v>
      </c>
      <c r="P605" s="189">
        <v>2248303</v>
      </c>
      <c r="Q605" s="189">
        <v>0</v>
      </c>
      <c r="R605" s="189">
        <v>0</v>
      </c>
      <c r="S605" s="189">
        <f t="shared" si="82"/>
        <v>2248303</v>
      </c>
      <c r="T605" s="189">
        <f t="shared" si="85"/>
        <v>1148.0305351307188</v>
      </c>
      <c r="U605" s="189">
        <f>AG605</f>
        <v>1766.3749922752086</v>
      </c>
      <c r="V605" s="170">
        <f t="shared" si="89"/>
        <v>618.34445714448975</v>
      </c>
      <c r="W605" s="170"/>
      <c r="X605" s="170"/>
      <c r="Y605" s="173" t="e">
        <f t="shared" si="90"/>
        <v>#N/A</v>
      </c>
      <c r="AA605" s="173" t="e">
        <f t="shared" si="86"/>
        <v>#N/A</v>
      </c>
      <c r="AC605" s="173" t="s">
        <v>132</v>
      </c>
      <c r="AD605" s="173">
        <v>748</v>
      </c>
      <c r="AG605" s="173">
        <f>AH605*6191.24/J605</f>
        <v>1766.3749922752086</v>
      </c>
      <c r="AH605" s="173">
        <f t="shared" si="87"/>
        <v>554</v>
      </c>
      <c r="AS605" s="173" t="e">
        <f t="shared" si="88"/>
        <v>#N/A</v>
      </c>
    </row>
    <row r="606" spans="1:45" s="173" customFormat="1" ht="36" customHeight="1" x14ac:dyDescent="0.9">
      <c r="A606" s="173">
        <v>1</v>
      </c>
      <c r="B606" s="91">
        <f>SUBTOTAL(103,$A$546:A606)</f>
        <v>61</v>
      </c>
      <c r="C606" s="90" t="s">
        <v>1132</v>
      </c>
      <c r="D606" s="185">
        <v>1959</v>
      </c>
      <c r="E606" s="185"/>
      <c r="F606" s="191" t="s">
        <v>273</v>
      </c>
      <c r="G606" s="185">
        <v>4</v>
      </c>
      <c r="H606" s="185">
        <v>3</v>
      </c>
      <c r="I606" s="186">
        <v>2756</v>
      </c>
      <c r="J606" s="186">
        <v>2605</v>
      </c>
      <c r="K606" s="186">
        <v>2310</v>
      </c>
      <c r="L606" s="187">
        <v>91</v>
      </c>
      <c r="M606" s="185" t="s">
        <v>271</v>
      </c>
      <c r="N606" s="185" t="s">
        <v>275</v>
      </c>
      <c r="O606" s="188" t="s">
        <v>1425</v>
      </c>
      <c r="P606" s="189">
        <v>2785299.21</v>
      </c>
      <c r="Q606" s="189">
        <v>0</v>
      </c>
      <c r="R606" s="189">
        <v>0</v>
      </c>
      <c r="S606" s="189">
        <f t="shared" si="82"/>
        <v>2785299.21</v>
      </c>
      <c r="T606" s="189">
        <f t="shared" si="85"/>
        <v>1010.6310631349783</v>
      </c>
      <c r="U606" s="189">
        <f>AG606</f>
        <v>3622.8141868714006</v>
      </c>
      <c r="V606" s="170">
        <f t="shared" si="89"/>
        <v>2612.1831237364222</v>
      </c>
      <c r="W606" s="170"/>
      <c r="X606" s="170"/>
      <c r="Y606" s="173" t="e">
        <f t="shared" si="90"/>
        <v>#N/A</v>
      </c>
      <c r="AA606" s="173" t="e">
        <f t="shared" si="86"/>
        <v>#N/A</v>
      </c>
      <c r="AC606" s="173" t="s">
        <v>137</v>
      </c>
      <c r="AD606" s="173">
        <v>825</v>
      </c>
      <c r="AG606" s="173">
        <f>AH606*6191.24/J606</f>
        <v>3622.8141868714006</v>
      </c>
      <c r="AH606" s="173">
        <f t="shared" si="87"/>
        <v>1524.32</v>
      </c>
      <c r="AS606" s="173" t="e">
        <f t="shared" si="88"/>
        <v>#N/A</v>
      </c>
    </row>
    <row r="607" spans="1:45" s="173" customFormat="1" ht="36" customHeight="1" x14ac:dyDescent="0.9">
      <c r="A607" s="173">
        <v>1</v>
      </c>
      <c r="B607" s="91">
        <f>SUBTOTAL(103,$A$546:A607)</f>
        <v>62</v>
      </c>
      <c r="C607" s="90" t="s">
        <v>1142</v>
      </c>
      <c r="D607" s="185">
        <v>1950</v>
      </c>
      <c r="E607" s="185"/>
      <c r="F607" s="191" t="s">
        <v>273</v>
      </c>
      <c r="G607" s="185">
        <v>2</v>
      </c>
      <c r="H607" s="185">
        <v>2</v>
      </c>
      <c r="I607" s="186">
        <v>813.8</v>
      </c>
      <c r="J607" s="186">
        <v>739.3</v>
      </c>
      <c r="K607" s="186">
        <v>696.4</v>
      </c>
      <c r="L607" s="187">
        <v>39</v>
      </c>
      <c r="M607" s="185" t="s">
        <v>271</v>
      </c>
      <c r="N607" s="185" t="s">
        <v>275</v>
      </c>
      <c r="O607" s="188" t="s">
        <v>1425</v>
      </c>
      <c r="P607" s="189">
        <v>1338055.4100000001</v>
      </c>
      <c r="Q607" s="189">
        <v>0</v>
      </c>
      <c r="R607" s="189">
        <v>0</v>
      </c>
      <c r="S607" s="189">
        <f t="shared" si="82"/>
        <v>1338055.4100000001</v>
      </c>
      <c r="T607" s="189">
        <f t="shared" si="85"/>
        <v>1644.2066969771445</v>
      </c>
      <c r="U607" s="189">
        <f>T607</f>
        <v>1644.2066969771445</v>
      </c>
      <c r="V607" s="170">
        <f t="shared" si="89"/>
        <v>0</v>
      </c>
      <c r="W607" s="170"/>
      <c r="X607" s="170"/>
      <c r="Y607" s="173" t="e">
        <f t="shared" si="90"/>
        <v>#N/A</v>
      </c>
      <c r="AA607" s="173" t="e">
        <f t="shared" si="86"/>
        <v>#N/A</v>
      </c>
      <c r="AC607" s="173" t="s">
        <v>133</v>
      </c>
      <c r="AD607" s="173">
        <v>1007</v>
      </c>
      <c r="AH607" s="173" t="e">
        <f t="shared" si="87"/>
        <v>#N/A</v>
      </c>
      <c r="AS607" s="173" t="e">
        <f t="shared" si="88"/>
        <v>#N/A</v>
      </c>
    </row>
    <row r="608" spans="1:45" s="173" customFormat="1" ht="36" customHeight="1" x14ac:dyDescent="0.9">
      <c r="A608" s="173">
        <v>1</v>
      </c>
      <c r="B608" s="91">
        <f>SUBTOTAL(103,$A$546:A608)</f>
        <v>63</v>
      </c>
      <c r="C608" s="90" t="s">
        <v>1143</v>
      </c>
      <c r="D608" s="185">
        <v>1958</v>
      </c>
      <c r="E608" s="185"/>
      <c r="F608" s="191" t="s">
        <v>273</v>
      </c>
      <c r="G608" s="185">
        <v>2</v>
      </c>
      <c r="H608" s="185">
        <v>2</v>
      </c>
      <c r="I608" s="186">
        <v>515.4</v>
      </c>
      <c r="J608" s="186">
        <v>454.3</v>
      </c>
      <c r="K608" s="186">
        <v>339.6</v>
      </c>
      <c r="L608" s="187">
        <v>21</v>
      </c>
      <c r="M608" s="185" t="s">
        <v>271</v>
      </c>
      <c r="N608" s="185" t="s">
        <v>275</v>
      </c>
      <c r="O608" s="188" t="s">
        <v>1410</v>
      </c>
      <c r="P608" s="189">
        <v>221655.15999999997</v>
      </c>
      <c r="Q608" s="189">
        <v>0</v>
      </c>
      <c r="R608" s="189">
        <v>0</v>
      </c>
      <c r="S608" s="189">
        <f t="shared" si="82"/>
        <v>221655.15999999997</v>
      </c>
      <c r="T608" s="189">
        <f t="shared" si="85"/>
        <v>430.06433837795885</v>
      </c>
      <c r="U608" s="189">
        <f>T608</f>
        <v>430.06433837795885</v>
      </c>
      <c r="V608" s="170">
        <f t="shared" si="89"/>
        <v>0</v>
      </c>
      <c r="W608" s="170"/>
      <c r="X608" s="170"/>
      <c r="Y608" s="173" t="e">
        <f t="shared" si="90"/>
        <v>#N/A</v>
      </c>
      <c r="AA608" s="173" t="e">
        <f t="shared" si="86"/>
        <v>#N/A</v>
      </c>
      <c r="AC608" s="173" t="s">
        <v>134</v>
      </c>
      <c r="AD608" s="173">
        <v>772.6</v>
      </c>
      <c r="AH608" s="173" t="e">
        <f t="shared" si="87"/>
        <v>#N/A</v>
      </c>
      <c r="AS608" s="173" t="e">
        <f t="shared" si="88"/>
        <v>#N/A</v>
      </c>
    </row>
    <row r="609" spans="1:45" s="173" customFormat="1" ht="36" customHeight="1" x14ac:dyDescent="0.9">
      <c r="A609" s="173">
        <v>1</v>
      </c>
      <c r="B609" s="91">
        <f>SUBTOTAL(103,$A$546:A609)</f>
        <v>64</v>
      </c>
      <c r="C609" s="90" t="s">
        <v>1145</v>
      </c>
      <c r="D609" s="185" t="s">
        <v>376</v>
      </c>
      <c r="E609" s="185"/>
      <c r="F609" s="191" t="s">
        <v>273</v>
      </c>
      <c r="G609" s="185" t="s">
        <v>316</v>
      </c>
      <c r="H609" s="185" t="s">
        <v>311</v>
      </c>
      <c r="I609" s="186">
        <v>1346.5</v>
      </c>
      <c r="J609" s="186">
        <v>1245.7</v>
      </c>
      <c r="K609" s="186">
        <v>1118.8</v>
      </c>
      <c r="L609" s="187">
        <v>62</v>
      </c>
      <c r="M609" s="185" t="s">
        <v>271</v>
      </c>
      <c r="N609" s="185" t="s">
        <v>275</v>
      </c>
      <c r="O609" s="188" t="s">
        <v>1689</v>
      </c>
      <c r="P609" s="189">
        <v>2696648.14</v>
      </c>
      <c r="Q609" s="189">
        <v>0</v>
      </c>
      <c r="R609" s="189">
        <v>0</v>
      </c>
      <c r="S609" s="189">
        <f t="shared" si="82"/>
        <v>2696648.14</v>
      </c>
      <c r="T609" s="189">
        <f t="shared" si="85"/>
        <v>2002.7093501671</v>
      </c>
      <c r="U609" s="189">
        <f>T609</f>
        <v>2002.7093501671</v>
      </c>
      <c r="V609" s="170">
        <f t="shared" si="89"/>
        <v>0</v>
      </c>
      <c r="W609" s="170"/>
      <c r="X609" s="170"/>
      <c r="Y609" s="173">
        <f t="shared" si="90"/>
        <v>1758.3097809134795</v>
      </c>
      <c r="AA609" s="173">
        <f t="shared" si="86"/>
        <v>453.4</v>
      </c>
      <c r="AC609" s="173" t="s">
        <v>182</v>
      </c>
      <c r="AD609" s="173">
        <v>630</v>
      </c>
      <c r="AH609" s="173" t="e">
        <f t="shared" si="87"/>
        <v>#N/A</v>
      </c>
      <c r="AS609" s="173" t="e">
        <f t="shared" si="88"/>
        <v>#N/A</v>
      </c>
    </row>
    <row r="610" spans="1:45" s="173" customFormat="1" ht="36" customHeight="1" x14ac:dyDescent="0.9">
      <c r="A610" s="173">
        <v>1</v>
      </c>
      <c r="B610" s="91">
        <f>SUBTOTAL(103,$A$546:A610)</f>
        <v>65</v>
      </c>
      <c r="C610" s="90" t="s">
        <v>1146</v>
      </c>
      <c r="D610" s="185">
        <v>1960</v>
      </c>
      <c r="E610" s="185"/>
      <c r="F610" s="191" t="s">
        <v>273</v>
      </c>
      <c r="G610" s="185">
        <v>3</v>
      </c>
      <c r="H610" s="185">
        <v>2</v>
      </c>
      <c r="I610" s="186">
        <v>979.2</v>
      </c>
      <c r="J610" s="186">
        <v>969.7</v>
      </c>
      <c r="K610" s="186">
        <v>929.8</v>
      </c>
      <c r="L610" s="187">
        <v>31</v>
      </c>
      <c r="M610" s="185" t="s">
        <v>271</v>
      </c>
      <c r="N610" s="185" t="s">
        <v>275</v>
      </c>
      <c r="O610" s="188" t="s">
        <v>1413</v>
      </c>
      <c r="P610" s="189">
        <v>1772415.75</v>
      </c>
      <c r="Q610" s="189">
        <v>0</v>
      </c>
      <c r="R610" s="189">
        <v>0</v>
      </c>
      <c r="S610" s="189">
        <f t="shared" ref="S610:S673" si="91">P610-Q610-R610</f>
        <v>1772415.75</v>
      </c>
      <c r="T610" s="189">
        <f t="shared" si="85"/>
        <v>1810.0651041666665</v>
      </c>
      <c r="U610" s="189">
        <f>Y610</f>
        <v>2794.2389338235294</v>
      </c>
      <c r="V610" s="170">
        <f t="shared" si="89"/>
        <v>984.17382965686284</v>
      </c>
      <c r="W610" s="170"/>
      <c r="X610" s="170"/>
      <c r="Y610" s="173">
        <f t="shared" si="90"/>
        <v>2794.2389338235294</v>
      </c>
      <c r="AA610" s="173">
        <f t="shared" si="86"/>
        <v>523.98</v>
      </c>
      <c r="AC610" s="173" t="s">
        <v>187</v>
      </c>
      <c r="AD610" s="173">
        <v>260</v>
      </c>
      <c r="AH610" s="173" t="e">
        <f t="shared" si="87"/>
        <v>#N/A</v>
      </c>
      <c r="AS610" s="173" t="e">
        <f t="shared" si="88"/>
        <v>#N/A</v>
      </c>
    </row>
    <row r="611" spans="1:45" s="173" customFormat="1" ht="36" customHeight="1" x14ac:dyDescent="0.9">
      <c r="A611" s="173">
        <v>1</v>
      </c>
      <c r="B611" s="91">
        <f>SUBTOTAL(103,$A$546:A611)</f>
        <v>66</v>
      </c>
      <c r="C611" s="90" t="s">
        <v>1147</v>
      </c>
      <c r="D611" s="185">
        <v>1991</v>
      </c>
      <c r="E611" s="185">
        <v>2016</v>
      </c>
      <c r="F611" s="191" t="s">
        <v>1348</v>
      </c>
      <c r="G611" s="185">
        <v>13</v>
      </c>
      <c r="H611" s="185">
        <v>1</v>
      </c>
      <c r="I611" s="186">
        <v>4135.3</v>
      </c>
      <c r="J611" s="186">
        <v>3928.9</v>
      </c>
      <c r="K611" s="186">
        <v>3680.79</v>
      </c>
      <c r="L611" s="187">
        <v>225</v>
      </c>
      <c r="M611" s="185" t="s">
        <v>271</v>
      </c>
      <c r="N611" s="185" t="s">
        <v>275</v>
      </c>
      <c r="O611" s="188" t="s">
        <v>1412</v>
      </c>
      <c r="P611" s="189">
        <v>4516142.72</v>
      </c>
      <c r="Q611" s="189">
        <v>0</v>
      </c>
      <c r="R611" s="189">
        <v>0</v>
      </c>
      <c r="S611" s="189">
        <f t="shared" si="91"/>
        <v>4516142.72</v>
      </c>
      <c r="T611" s="189">
        <f t="shared" si="85"/>
        <v>1092.0955480859911</v>
      </c>
      <c r="U611" s="189">
        <f>AG611</f>
        <v>2188.8142635343224</v>
      </c>
      <c r="V611" s="170">
        <f t="shared" si="89"/>
        <v>1096.7187154483313</v>
      </c>
      <c r="W611" s="170"/>
      <c r="X611" s="170"/>
      <c r="Y611" s="173" t="e">
        <f t="shared" si="90"/>
        <v>#N/A</v>
      </c>
      <c r="AA611" s="173" t="e">
        <f t="shared" si="86"/>
        <v>#N/A</v>
      </c>
      <c r="AC611" s="173" t="s">
        <v>184</v>
      </c>
      <c r="AD611" s="173">
        <v>283</v>
      </c>
      <c r="AG611" s="173">
        <f>AH611*6191.24/J611</f>
        <v>2188.8142635343224</v>
      </c>
      <c r="AH611" s="173">
        <f t="shared" si="87"/>
        <v>1389</v>
      </c>
      <c r="AS611" s="173" t="e">
        <f t="shared" si="88"/>
        <v>#N/A</v>
      </c>
    </row>
    <row r="612" spans="1:45" s="173" customFormat="1" ht="36" customHeight="1" x14ac:dyDescent="0.9">
      <c r="A612" s="173">
        <v>1</v>
      </c>
      <c r="B612" s="91">
        <f>SUBTOTAL(103,$A$546:A612)</f>
        <v>67</v>
      </c>
      <c r="C612" s="90" t="s">
        <v>1148</v>
      </c>
      <c r="D612" s="185">
        <v>1962</v>
      </c>
      <c r="E612" s="185"/>
      <c r="F612" s="191" t="s">
        <v>273</v>
      </c>
      <c r="G612" s="185">
        <v>5</v>
      </c>
      <c r="H612" s="185">
        <v>4</v>
      </c>
      <c r="I612" s="186">
        <v>3154</v>
      </c>
      <c r="J612" s="186">
        <v>3012.3</v>
      </c>
      <c r="K612" s="186">
        <v>2941.4</v>
      </c>
      <c r="L612" s="187">
        <v>175</v>
      </c>
      <c r="M612" s="185" t="s">
        <v>271</v>
      </c>
      <c r="N612" s="185" t="s">
        <v>275</v>
      </c>
      <c r="O612" s="188" t="s">
        <v>1351</v>
      </c>
      <c r="P612" s="189">
        <v>3246745.9499999997</v>
      </c>
      <c r="Q612" s="189">
        <v>0</v>
      </c>
      <c r="R612" s="189">
        <v>0</v>
      </c>
      <c r="S612" s="189">
        <f t="shared" si="91"/>
        <v>3246745.9499999997</v>
      </c>
      <c r="T612" s="189">
        <f t="shared" si="85"/>
        <v>1029.4058180088775</v>
      </c>
      <c r="U612" s="189">
        <f>Y612</f>
        <v>1809.5838300570706</v>
      </c>
      <c r="V612" s="170">
        <f t="shared" si="89"/>
        <v>780.17801204819307</v>
      </c>
      <c r="W612" s="170"/>
      <c r="X612" s="170"/>
      <c r="Y612" s="173">
        <f t="shared" si="90"/>
        <v>1809.5838300570706</v>
      </c>
      <c r="AA612" s="173">
        <f t="shared" si="86"/>
        <v>1093</v>
      </c>
      <c r="AC612" s="173" t="s">
        <v>185</v>
      </c>
      <c r="AD612" s="173">
        <v>230</v>
      </c>
      <c r="AH612" s="173" t="e">
        <f t="shared" si="87"/>
        <v>#N/A</v>
      </c>
      <c r="AS612" s="173" t="e">
        <f t="shared" si="88"/>
        <v>#N/A</v>
      </c>
    </row>
    <row r="613" spans="1:45" s="173" customFormat="1" ht="36" customHeight="1" x14ac:dyDescent="0.9">
      <c r="A613" s="173">
        <v>1</v>
      </c>
      <c r="B613" s="91">
        <f>SUBTOTAL(103,$A$546:A613)</f>
        <v>68</v>
      </c>
      <c r="C613" s="90" t="s">
        <v>1159</v>
      </c>
      <c r="D613" s="185">
        <v>1962</v>
      </c>
      <c r="E613" s="185"/>
      <c r="F613" s="191" t="s">
        <v>273</v>
      </c>
      <c r="G613" s="185">
        <v>2</v>
      </c>
      <c r="H613" s="185">
        <v>2</v>
      </c>
      <c r="I613" s="186">
        <v>628.29999999999995</v>
      </c>
      <c r="J613" s="186">
        <v>414.2</v>
      </c>
      <c r="K613" s="186">
        <v>414.2</v>
      </c>
      <c r="L613" s="187">
        <v>40</v>
      </c>
      <c r="M613" s="185" t="s">
        <v>271</v>
      </c>
      <c r="N613" s="185" t="s">
        <v>272</v>
      </c>
      <c r="O613" s="188" t="s">
        <v>1350</v>
      </c>
      <c r="P613" s="189">
        <v>2273804.56</v>
      </c>
      <c r="Q613" s="189">
        <v>0</v>
      </c>
      <c r="R613" s="189">
        <v>0</v>
      </c>
      <c r="S613" s="189">
        <f t="shared" si="91"/>
        <v>2273804.56</v>
      </c>
      <c r="T613" s="189">
        <f t="shared" si="85"/>
        <v>3618.9790864236834</v>
      </c>
      <c r="U613" s="189">
        <f>Y613</f>
        <v>4516.1962756644916</v>
      </c>
      <c r="V613" s="170">
        <f t="shared" si="89"/>
        <v>897.21718924080824</v>
      </c>
      <c r="W613" s="170"/>
      <c r="X613" s="170"/>
      <c r="Y613" s="173">
        <f t="shared" si="90"/>
        <v>4516.1962756644916</v>
      </c>
      <c r="AA613" s="173">
        <f t="shared" si="86"/>
        <v>543.4</v>
      </c>
      <c r="AC613" s="173" t="s">
        <v>818</v>
      </c>
      <c r="AD613" s="173">
        <v>280</v>
      </c>
      <c r="AH613" s="173" t="e">
        <f t="shared" si="87"/>
        <v>#N/A</v>
      </c>
      <c r="AS613" s="173" t="e">
        <f t="shared" si="88"/>
        <v>#N/A</v>
      </c>
    </row>
    <row r="614" spans="1:45" s="173" customFormat="1" ht="36" customHeight="1" x14ac:dyDescent="0.9">
      <c r="A614" s="173">
        <v>1</v>
      </c>
      <c r="B614" s="91">
        <f>SUBTOTAL(103,$A$546:A614)</f>
        <v>69</v>
      </c>
      <c r="C614" s="90" t="s">
        <v>1160</v>
      </c>
      <c r="D614" s="185">
        <v>1964</v>
      </c>
      <c r="E614" s="185"/>
      <c r="F614" s="191" t="s">
        <v>273</v>
      </c>
      <c r="G614" s="185">
        <v>2</v>
      </c>
      <c r="H614" s="185">
        <v>2</v>
      </c>
      <c r="I614" s="186">
        <v>616.20000000000005</v>
      </c>
      <c r="J614" s="186">
        <v>614</v>
      </c>
      <c r="K614" s="186">
        <v>614</v>
      </c>
      <c r="L614" s="187">
        <v>40</v>
      </c>
      <c r="M614" s="185" t="s">
        <v>271</v>
      </c>
      <c r="N614" s="185" t="s">
        <v>275</v>
      </c>
      <c r="O614" s="188" t="s">
        <v>1350</v>
      </c>
      <c r="P614" s="189">
        <v>2765824.94</v>
      </c>
      <c r="Q614" s="189">
        <v>0</v>
      </c>
      <c r="R614" s="189">
        <v>0</v>
      </c>
      <c r="S614" s="189">
        <f t="shared" si="91"/>
        <v>2765824.94</v>
      </c>
      <c r="T614" s="189">
        <f t="shared" si="85"/>
        <v>4488.5182408308983</v>
      </c>
      <c r="U614" s="189">
        <f>Y614</f>
        <v>5635.3407984420637</v>
      </c>
      <c r="V614" s="170">
        <f t="shared" si="89"/>
        <v>1146.8225576111654</v>
      </c>
      <c r="W614" s="170"/>
      <c r="X614" s="170"/>
      <c r="Y614" s="173">
        <f t="shared" si="90"/>
        <v>5635.3407984420637</v>
      </c>
      <c r="AA614" s="173">
        <f t="shared" si="86"/>
        <v>665</v>
      </c>
      <c r="AC614" s="173" t="s">
        <v>86</v>
      </c>
      <c r="AD614" s="173">
        <v>650</v>
      </c>
      <c r="AH614" s="173" t="e">
        <f t="shared" si="87"/>
        <v>#N/A</v>
      </c>
      <c r="AS614" s="173" t="e">
        <f t="shared" si="88"/>
        <v>#N/A</v>
      </c>
    </row>
    <row r="615" spans="1:45" s="173" customFormat="1" ht="36" customHeight="1" x14ac:dyDescent="0.9">
      <c r="A615" s="173">
        <v>1</v>
      </c>
      <c r="B615" s="91">
        <f>SUBTOTAL(103,$A$546:A615)</f>
        <v>70</v>
      </c>
      <c r="C615" s="90" t="s">
        <v>1631</v>
      </c>
      <c r="D615" s="185">
        <v>1964</v>
      </c>
      <c r="E615" s="185"/>
      <c r="F615" s="191" t="s">
        <v>273</v>
      </c>
      <c r="G615" s="185">
        <v>5</v>
      </c>
      <c r="H615" s="185">
        <v>4</v>
      </c>
      <c r="I615" s="186">
        <v>3338.7</v>
      </c>
      <c r="J615" s="186">
        <v>3322.3</v>
      </c>
      <c r="K615" s="186">
        <v>3136.7</v>
      </c>
      <c r="L615" s="187">
        <v>205</v>
      </c>
      <c r="M615" s="185" t="s">
        <v>271</v>
      </c>
      <c r="N615" s="185" t="s">
        <v>275</v>
      </c>
      <c r="O615" s="188" t="s">
        <v>1410</v>
      </c>
      <c r="P615" s="189">
        <v>2292500.0499999998</v>
      </c>
      <c r="Q615" s="189">
        <v>0</v>
      </c>
      <c r="R615" s="189">
        <v>0</v>
      </c>
      <c r="S615" s="189">
        <f t="shared" si="91"/>
        <v>2292500.0499999998</v>
      </c>
      <c r="T615" s="189">
        <f t="shared" si="85"/>
        <v>686.64451732710336</v>
      </c>
      <c r="U615" s="189">
        <f>AG615</f>
        <v>1565.3738675014295</v>
      </c>
      <c r="V615" s="170">
        <f t="shared" si="89"/>
        <v>878.7293501743261</v>
      </c>
      <c r="W615" s="170"/>
      <c r="X615" s="170"/>
      <c r="Y615" s="173" t="e">
        <f t="shared" si="90"/>
        <v>#N/A</v>
      </c>
      <c r="AA615" s="173" t="e">
        <f t="shared" si="86"/>
        <v>#N/A</v>
      </c>
      <c r="AC615" s="173" t="s">
        <v>87</v>
      </c>
      <c r="AD615" s="173">
        <v>565</v>
      </c>
      <c r="AG615" s="173">
        <f>AH615*6191.24/J615</f>
        <v>1565.3738675014295</v>
      </c>
      <c r="AH615" s="173">
        <f t="shared" si="87"/>
        <v>840</v>
      </c>
      <c r="AS615" s="173" t="e">
        <f t="shared" si="88"/>
        <v>#N/A</v>
      </c>
    </row>
    <row r="616" spans="1:45" s="173" customFormat="1" ht="36" customHeight="1" x14ac:dyDescent="0.9">
      <c r="A616" s="173">
        <v>1</v>
      </c>
      <c r="B616" s="91">
        <f>SUBTOTAL(103,$A$546:A616)</f>
        <v>71</v>
      </c>
      <c r="C616" s="90" t="s">
        <v>1661</v>
      </c>
      <c r="D616" s="185">
        <v>1966</v>
      </c>
      <c r="E616" s="185"/>
      <c r="F616" s="191" t="s">
        <v>319</v>
      </c>
      <c r="G616" s="185">
        <v>5</v>
      </c>
      <c r="H616" s="185">
        <v>4</v>
      </c>
      <c r="I616" s="186">
        <v>4619.5</v>
      </c>
      <c r="J616" s="186">
        <v>3551.3</v>
      </c>
      <c r="K616" s="186">
        <v>3365.6</v>
      </c>
      <c r="L616" s="187">
        <v>200</v>
      </c>
      <c r="M616" s="185" t="s">
        <v>271</v>
      </c>
      <c r="N616" s="185" t="s">
        <v>275</v>
      </c>
      <c r="O616" s="188" t="s">
        <v>1100</v>
      </c>
      <c r="P616" s="189">
        <v>3926550</v>
      </c>
      <c r="Q616" s="189">
        <v>0</v>
      </c>
      <c r="R616" s="189">
        <v>0</v>
      </c>
      <c r="S616" s="189">
        <f t="shared" si="91"/>
        <v>3926550</v>
      </c>
      <c r="T616" s="189">
        <f t="shared" si="85"/>
        <v>849.9945881588917</v>
      </c>
      <c r="U616" s="189">
        <f>Y616</f>
        <v>1017.3438683840243</v>
      </c>
      <c r="V616" s="170">
        <f t="shared" si="89"/>
        <v>167.34928022513259</v>
      </c>
      <c r="W616" s="170"/>
      <c r="X616" s="170"/>
      <c r="Y616" s="173">
        <f t="shared" si="90"/>
        <v>1017.3438683840243</v>
      </c>
      <c r="AA616" s="173">
        <f t="shared" si="86"/>
        <v>900</v>
      </c>
      <c r="AC616" s="173" t="s">
        <v>85</v>
      </c>
      <c r="AD616" s="173">
        <v>610</v>
      </c>
      <c r="AH616" s="173" t="e">
        <f t="shared" si="87"/>
        <v>#N/A</v>
      </c>
      <c r="AS616" s="173" t="e">
        <f t="shared" si="88"/>
        <v>#N/A</v>
      </c>
    </row>
    <row r="617" spans="1:45" s="173" customFormat="1" ht="36" customHeight="1" x14ac:dyDescent="0.9">
      <c r="A617" s="173">
        <v>1</v>
      </c>
      <c r="B617" s="91">
        <f>SUBTOTAL(103,$A$546:A617)</f>
        <v>72</v>
      </c>
      <c r="C617" s="90" t="s">
        <v>1662</v>
      </c>
      <c r="D617" s="185">
        <v>1961</v>
      </c>
      <c r="E617" s="185"/>
      <c r="F617" s="191" t="s">
        <v>273</v>
      </c>
      <c r="G617" s="185">
        <v>3</v>
      </c>
      <c r="H617" s="185">
        <v>3</v>
      </c>
      <c r="I617" s="186">
        <v>2155.9</v>
      </c>
      <c r="J617" s="186">
        <v>1519.5</v>
      </c>
      <c r="K617" s="186">
        <v>1386.6</v>
      </c>
      <c r="L617" s="187">
        <v>85</v>
      </c>
      <c r="M617" s="185" t="s">
        <v>271</v>
      </c>
      <c r="N617" s="185" t="s">
        <v>275</v>
      </c>
      <c r="O617" s="188" t="s">
        <v>1694</v>
      </c>
      <c r="P617" s="189">
        <v>3767934.93</v>
      </c>
      <c r="Q617" s="189">
        <v>0</v>
      </c>
      <c r="R617" s="189">
        <v>0</v>
      </c>
      <c r="S617" s="189">
        <f t="shared" si="91"/>
        <v>3767934.93</v>
      </c>
      <c r="T617" s="189">
        <f t="shared" si="85"/>
        <v>1747.7317732733429</v>
      </c>
      <c r="U617" s="189">
        <f>Y617</f>
        <v>2010.3409249037525</v>
      </c>
      <c r="V617" s="170">
        <f t="shared" si="89"/>
        <v>262.60915163040954</v>
      </c>
      <c r="W617" s="170"/>
      <c r="X617" s="170"/>
      <c r="Y617" s="173">
        <f t="shared" si="90"/>
        <v>2010.3409249037525</v>
      </c>
      <c r="AA617" s="173">
        <f t="shared" si="86"/>
        <v>830</v>
      </c>
      <c r="AC617" s="173" t="s">
        <v>89</v>
      </c>
      <c r="AD617" s="173">
        <v>586</v>
      </c>
      <c r="AH617" s="173" t="e">
        <f t="shared" si="87"/>
        <v>#N/A</v>
      </c>
      <c r="AS617" s="173" t="e">
        <f t="shared" si="88"/>
        <v>#N/A</v>
      </c>
    </row>
    <row r="618" spans="1:45" s="173" customFormat="1" ht="36" customHeight="1" x14ac:dyDescent="0.9">
      <c r="A618" s="173">
        <v>1</v>
      </c>
      <c r="B618" s="91">
        <f>SUBTOTAL(103,$A$546:A618)</f>
        <v>73</v>
      </c>
      <c r="C618" s="90" t="s">
        <v>1663</v>
      </c>
      <c r="D618" s="185">
        <v>1959</v>
      </c>
      <c r="E618" s="185"/>
      <c r="F618" s="191" t="s">
        <v>273</v>
      </c>
      <c r="G618" s="185">
        <v>3</v>
      </c>
      <c r="H618" s="185">
        <v>3</v>
      </c>
      <c r="I618" s="186">
        <v>1249.9000000000001</v>
      </c>
      <c r="J618" s="186">
        <v>1149.9000000000001</v>
      </c>
      <c r="K618" s="186">
        <v>1149.9000000000001</v>
      </c>
      <c r="L618" s="187">
        <v>89</v>
      </c>
      <c r="M618" s="185" t="s">
        <v>271</v>
      </c>
      <c r="N618" s="185" t="s">
        <v>275</v>
      </c>
      <c r="O618" s="188" t="s">
        <v>1424</v>
      </c>
      <c r="P618" s="189">
        <v>3158283.01</v>
      </c>
      <c r="Q618" s="189">
        <v>0</v>
      </c>
      <c r="R618" s="189">
        <v>0</v>
      </c>
      <c r="S618" s="189">
        <f t="shared" si="91"/>
        <v>3158283.01</v>
      </c>
      <c r="T618" s="189">
        <f t="shared" si="85"/>
        <v>2526.8285542843423</v>
      </c>
      <c r="U618" s="189">
        <f>AG618</f>
        <v>7231.9971893208103</v>
      </c>
      <c r="V618" s="170">
        <f t="shared" si="89"/>
        <v>4705.168635036468</v>
      </c>
      <c r="W618" s="170"/>
      <c r="X618" s="170"/>
      <c r="Y618" s="173" t="e">
        <f t="shared" si="90"/>
        <v>#N/A</v>
      </c>
      <c r="AA618" s="173" t="e">
        <f t="shared" si="86"/>
        <v>#N/A</v>
      </c>
      <c r="AC618" s="173" t="s">
        <v>88</v>
      </c>
      <c r="AD618" s="173">
        <v>390</v>
      </c>
      <c r="AG618" s="173">
        <f>AH618*6191.24/J618</f>
        <v>7231.9971893208103</v>
      </c>
      <c r="AH618" s="173">
        <f t="shared" si="87"/>
        <v>1343.2</v>
      </c>
      <c r="AS618" s="173" t="e">
        <f t="shared" si="88"/>
        <v>#N/A</v>
      </c>
    </row>
    <row r="619" spans="1:45" s="173" customFormat="1" ht="36" customHeight="1" x14ac:dyDescent="0.9">
      <c r="A619" s="173">
        <v>1</v>
      </c>
      <c r="B619" s="91">
        <f>SUBTOTAL(103,$A$546:A619)</f>
        <v>74</v>
      </c>
      <c r="C619" s="90" t="s">
        <v>1736</v>
      </c>
      <c r="D619" s="193">
        <v>1989</v>
      </c>
      <c r="E619" s="185"/>
      <c r="F619" s="191" t="s">
        <v>326</v>
      </c>
      <c r="G619" s="185">
        <v>7</v>
      </c>
      <c r="H619" s="185">
        <v>2</v>
      </c>
      <c r="I619" s="186">
        <v>3469.9</v>
      </c>
      <c r="J619" s="186">
        <v>3057</v>
      </c>
      <c r="K619" s="186">
        <v>3057</v>
      </c>
      <c r="L619" s="187">
        <v>163</v>
      </c>
      <c r="M619" s="185" t="s">
        <v>271</v>
      </c>
      <c r="N619" s="185" t="s">
        <v>275</v>
      </c>
      <c r="O619" s="188" t="s">
        <v>1739</v>
      </c>
      <c r="P619" s="189">
        <v>4225178</v>
      </c>
      <c r="Q619" s="189">
        <v>0</v>
      </c>
      <c r="R619" s="189">
        <v>0</v>
      </c>
      <c r="S619" s="189">
        <f t="shared" si="91"/>
        <v>4225178</v>
      </c>
      <c r="T619" s="189">
        <f t="shared" si="85"/>
        <v>1217.6656387792154</v>
      </c>
      <c r="U619" s="189">
        <f t="shared" ref="U619:U677" si="92">T619</f>
        <v>1217.6656387792154</v>
      </c>
      <c r="V619" s="170">
        <f t="shared" si="89"/>
        <v>0</v>
      </c>
      <c r="W619" s="170"/>
      <c r="X619" s="170"/>
      <c r="Y619" s="173" t="e">
        <f t="shared" si="90"/>
        <v>#N/A</v>
      </c>
      <c r="AA619" s="173" t="e">
        <f t="shared" si="86"/>
        <v>#N/A</v>
      </c>
      <c r="AC619" s="173" t="s">
        <v>109</v>
      </c>
      <c r="AD619" s="173">
        <v>688</v>
      </c>
      <c r="AH619" s="173" t="e">
        <f t="shared" si="87"/>
        <v>#N/A</v>
      </c>
      <c r="AS619" s="173" t="e">
        <f t="shared" si="88"/>
        <v>#N/A</v>
      </c>
    </row>
    <row r="620" spans="1:45" s="173" customFormat="1" ht="36" customHeight="1" x14ac:dyDescent="0.9">
      <c r="A620" s="173">
        <v>1</v>
      </c>
      <c r="B620" s="91">
        <f>SUBTOTAL(103,$A$546:A620)</f>
        <v>75</v>
      </c>
      <c r="C620" s="90" t="s">
        <v>580</v>
      </c>
      <c r="D620" s="193">
        <v>1958</v>
      </c>
      <c r="E620" s="185"/>
      <c r="F620" s="191" t="s">
        <v>273</v>
      </c>
      <c r="G620" s="185">
        <v>2</v>
      </c>
      <c r="H620" s="185">
        <v>2</v>
      </c>
      <c r="I620" s="186">
        <v>593.5</v>
      </c>
      <c r="J620" s="186">
        <v>548.79999999999995</v>
      </c>
      <c r="K620" s="186">
        <v>511.1</v>
      </c>
      <c r="L620" s="187">
        <v>26</v>
      </c>
      <c r="M620" s="185" t="s">
        <v>271</v>
      </c>
      <c r="N620" s="185" t="s">
        <v>275</v>
      </c>
      <c r="O620" s="188" t="s">
        <v>1410</v>
      </c>
      <c r="P620" s="189">
        <v>80000</v>
      </c>
      <c r="Q620" s="189">
        <v>0</v>
      </c>
      <c r="R620" s="189">
        <v>0</v>
      </c>
      <c r="S620" s="189">
        <f t="shared" si="91"/>
        <v>80000</v>
      </c>
      <c r="T620" s="189">
        <f t="shared" si="85"/>
        <v>134.79359730412804</v>
      </c>
      <c r="U620" s="189">
        <f t="shared" si="92"/>
        <v>134.79359730412804</v>
      </c>
      <c r="V620" s="170">
        <f t="shared" si="89"/>
        <v>0</v>
      </c>
      <c r="W620" s="170"/>
      <c r="X620" s="170"/>
      <c r="Y620" s="173">
        <f t="shared" si="90"/>
        <v>6475.5598989048021</v>
      </c>
      <c r="AA620" s="173">
        <f t="shared" si="86"/>
        <v>736</v>
      </c>
      <c r="AC620" s="173" t="s">
        <v>109</v>
      </c>
      <c r="AD620" s="173">
        <v>688</v>
      </c>
      <c r="AH620" s="173" t="e">
        <f t="shared" si="87"/>
        <v>#N/A</v>
      </c>
      <c r="AS620" s="173" t="e">
        <f t="shared" si="88"/>
        <v>#N/A</v>
      </c>
    </row>
    <row r="621" spans="1:45" s="173" customFormat="1" ht="36" customHeight="1" x14ac:dyDescent="0.9">
      <c r="A621" s="173">
        <v>1</v>
      </c>
      <c r="B621" s="91">
        <f>SUBTOTAL(103,$A$546:A621)</f>
        <v>76</v>
      </c>
      <c r="C621" s="90" t="s">
        <v>581</v>
      </c>
      <c r="D621" s="193" t="s">
        <v>317</v>
      </c>
      <c r="E621" s="185"/>
      <c r="F621" s="191" t="s">
        <v>273</v>
      </c>
      <c r="G621" s="185" t="s">
        <v>360</v>
      </c>
      <c r="H621" s="185">
        <v>1</v>
      </c>
      <c r="I621" s="186">
        <v>835.6</v>
      </c>
      <c r="J621" s="186">
        <v>606.6</v>
      </c>
      <c r="K621" s="186">
        <v>287.10000000000002</v>
      </c>
      <c r="L621" s="187">
        <v>17</v>
      </c>
      <c r="M621" s="185" t="s">
        <v>271</v>
      </c>
      <c r="N621" s="185" t="s">
        <v>275</v>
      </c>
      <c r="O621" s="188" t="s">
        <v>1696</v>
      </c>
      <c r="P621" s="189">
        <v>70000</v>
      </c>
      <c r="Q621" s="189">
        <v>0</v>
      </c>
      <c r="R621" s="189">
        <v>0</v>
      </c>
      <c r="S621" s="189">
        <f t="shared" si="91"/>
        <v>70000</v>
      </c>
      <c r="T621" s="189">
        <f t="shared" si="85"/>
        <v>83.772139779798948</v>
      </c>
      <c r="U621" s="189">
        <f t="shared" si="92"/>
        <v>83.772139779798948</v>
      </c>
      <c r="V621" s="170">
        <f t="shared" si="89"/>
        <v>0</v>
      </c>
      <c r="W621" s="170"/>
      <c r="X621" s="170"/>
      <c r="Y621" s="173">
        <f t="shared" si="90"/>
        <v>1437.3073240785063</v>
      </c>
      <c r="AA621" s="173">
        <f t="shared" si="86"/>
        <v>230</v>
      </c>
      <c r="AC621" s="173" t="s">
        <v>111</v>
      </c>
      <c r="AD621" s="173">
        <v>853</v>
      </c>
      <c r="AH621" s="173" t="e">
        <f t="shared" si="87"/>
        <v>#N/A</v>
      </c>
      <c r="AS621" s="173" t="e">
        <f t="shared" si="88"/>
        <v>#N/A</v>
      </c>
    </row>
    <row r="622" spans="1:45" s="173" customFormat="1" ht="36" customHeight="1" x14ac:dyDescent="0.9">
      <c r="A622" s="173">
        <v>1</v>
      </c>
      <c r="B622" s="91">
        <f>SUBTOTAL(103,$A$546:A622)</f>
        <v>77</v>
      </c>
      <c r="C622" s="90" t="s">
        <v>1094</v>
      </c>
      <c r="D622" s="185">
        <v>1962</v>
      </c>
      <c r="E622" s="185"/>
      <c r="F622" s="191" t="s">
        <v>273</v>
      </c>
      <c r="G622" s="185">
        <v>3</v>
      </c>
      <c r="H622" s="185">
        <v>2</v>
      </c>
      <c r="I622" s="186">
        <v>970.2</v>
      </c>
      <c r="J622" s="186">
        <v>615</v>
      </c>
      <c r="K622" s="186">
        <v>615</v>
      </c>
      <c r="L622" s="187">
        <v>60</v>
      </c>
      <c r="M622" s="185" t="s">
        <v>271</v>
      </c>
      <c r="N622" s="185" t="s">
        <v>275</v>
      </c>
      <c r="O622" s="188" t="s">
        <v>1694</v>
      </c>
      <c r="P622" s="189">
        <v>80000</v>
      </c>
      <c r="Q622" s="189">
        <v>0</v>
      </c>
      <c r="R622" s="189">
        <v>0</v>
      </c>
      <c r="S622" s="189">
        <f t="shared" si="91"/>
        <v>80000</v>
      </c>
      <c r="T622" s="189">
        <f t="shared" si="85"/>
        <v>82.457225314368173</v>
      </c>
      <c r="U622" s="189">
        <f t="shared" si="92"/>
        <v>82.457225314368173</v>
      </c>
      <c r="V622" s="170">
        <f t="shared" si="89"/>
        <v>0</v>
      </c>
      <c r="W622" s="170"/>
      <c r="X622" s="170"/>
      <c r="Y622" s="173">
        <f t="shared" si="90"/>
        <v>2217.4619666048238</v>
      </c>
      <c r="AA622" s="173">
        <f t="shared" si="86"/>
        <v>412</v>
      </c>
      <c r="AC622" s="173" t="s">
        <v>215</v>
      </c>
      <c r="AD622" s="173">
        <v>926.83</v>
      </c>
      <c r="AH622" s="173" t="e">
        <f t="shared" si="87"/>
        <v>#N/A</v>
      </c>
      <c r="AS622" s="173" t="e">
        <f t="shared" si="88"/>
        <v>#N/A</v>
      </c>
    </row>
    <row r="623" spans="1:45" s="173" customFormat="1" ht="36" customHeight="1" x14ac:dyDescent="0.9">
      <c r="A623" s="173">
        <v>1</v>
      </c>
      <c r="B623" s="91">
        <f>SUBTOTAL(103,$A$546:A623)</f>
        <v>78</v>
      </c>
      <c r="C623" s="90" t="s">
        <v>582</v>
      </c>
      <c r="D623" s="185" t="s">
        <v>322</v>
      </c>
      <c r="E623" s="185"/>
      <c r="F623" s="191" t="s">
        <v>319</v>
      </c>
      <c r="G623" s="185" t="s">
        <v>360</v>
      </c>
      <c r="H623" s="185">
        <v>3</v>
      </c>
      <c r="I623" s="186">
        <v>2819.1</v>
      </c>
      <c r="J623" s="186">
        <v>2571.8000000000002</v>
      </c>
      <c r="K623" s="186">
        <v>1698</v>
      </c>
      <c r="L623" s="187">
        <v>109</v>
      </c>
      <c r="M623" s="185" t="s">
        <v>271</v>
      </c>
      <c r="N623" s="185" t="s">
        <v>275</v>
      </c>
      <c r="O623" s="188" t="s">
        <v>1100</v>
      </c>
      <c r="P623" s="189">
        <v>100000</v>
      </c>
      <c r="Q623" s="189">
        <v>0</v>
      </c>
      <c r="R623" s="189">
        <v>0</v>
      </c>
      <c r="S623" s="189">
        <f t="shared" si="91"/>
        <v>100000</v>
      </c>
      <c r="T623" s="189">
        <f t="shared" si="85"/>
        <v>35.472313859033029</v>
      </c>
      <c r="U623" s="189">
        <f t="shared" si="92"/>
        <v>35.472313859033029</v>
      </c>
      <c r="V623" s="170">
        <f t="shared" si="89"/>
        <v>0</v>
      </c>
      <c r="W623" s="170"/>
      <c r="X623" s="170"/>
      <c r="Y623" s="173">
        <f t="shared" si="90"/>
        <v>1337.3557518356922</v>
      </c>
      <c r="AA623" s="173">
        <f t="shared" si="86"/>
        <v>722</v>
      </c>
      <c r="AC623" s="173" t="s">
        <v>66</v>
      </c>
      <c r="AD623" s="173">
        <v>670.8</v>
      </c>
      <c r="AH623" s="173" t="e">
        <f t="shared" si="87"/>
        <v>#N/A</v>
      </c>
      <c r="AS623" s="173" t="e">
        <f t="shared" si="88"/>
        <v>#N/A</v>
      </c>
    </row>
    <row r="624" spans="1:45" s="173" customFormat="1" ht="36" customHeight="1" x14ac:dyDescent="0.9">
      <c r="A624" s="173">
        <v>1</v>
      </c>
      <c r="B624" s="91">
        <f>SUBTOTAL(103,$A$546:A624)</f>
        <v>79</v>
      </c>
      <c r="C624" s="90" t="s">
        <v>584</v>
      </c>
      <c r="D624" s="185" t="s">
        <v>322</v>
      </c>
      <c r="E624" s="185"/>
      <c r="F624" s="191" t="s">
        <v>319</v>
      </c>
      <c r="G624" s="185" t="s">
        <v>360</v>
      </c>
      <c r="H624" s="185">
        <v>5</v>
      </c>
      <c r="I624" s="186">
        <v>5771.6</v>
      </c>
      <c r="J624" s="186">
        <v>4780.3999999999996</v>
      </c>
      <c r="K624" s="186">
        <v>4455.8999999999996</v>
      </c>
      <c r="L624" s="187">
        <v>241</v>
      </c>
      <c r="M624" s="185" t="s">
        <v>271</v>
      </c>
      <c r="N624" s="185" t="s">
        <v>275</v>
      </c>
      <c r="O624" s="188" t="s">
        <v>1100</v>
      </c>
      <c r="P624" s="189">
        <v>100000</v>
      </c>
      <c r="Q624" s="189">
        <v>0</v>
      </c>
      <c r="R624" s="189">
        <v>0</v>
      </c>
      <c r="S624" s="189">
        <f t="shared" si="91"/>
        <v>100000</v>
      </c>
      <c r="T624" s="189">
        <f t="shared" si="85"/>
        <v>17.326218033127727</v>
      </c>
      <c r="U624" s="189">
        <f t="shared" si="92"/>
        <v>17.326218033127727</v>
      </c>
      <c r="V624" s="170">
        <f t="shared" si="89"/>
        <v>0</v>
      </c>
      <c r="W624" s="170"/>
      <c r="X624" s="170"/>
      <c r="Y624" s="173">
        <f t="shared" si="90"/>
        <v>1085.6885439046364</v>
      </c>
      <c r="AA624" s="173">
        <f t="shared" si="86"/>
        <v>1200</v>
      </c>
      <c r="AC624" s="173" t="s">
        <v>68</v>
      </c>
      <c r="AD624" s="173">
        <v>1238.9000000000001</v>
      </c>
      <c r="AH624" s="173" t="e">
        <f t="shared" si="87"/>
        <v>#N/A</v>
      </c>
      <c r="AS624" s="173" t="e">
        <f t="shared" si="88"/>
        <v>#N/A</v>
      </c>
    </row>
    <row r="625" spans="1:45" s="173" customFormat="1" ht="36" customHeight="1" x14ac:dyDescent="0.9">
      <c r="A625" s="173">
        <v>1</v>
      </c>
      <c r="B625" s="91">
        <f>SUBTOTAL(103,$A$546:A625)</f>
        <v>80</v>
      </c>
      <c r="C625" s="90" t="s">
        <v>585</v>
      </c>
      <c r="D625" s="185" t="s">
        <v>361</v>
      </c>
      <c r="E625" s="185"/>
      <c r="F625" s="191" t="s">
        <v>273</v>
      </c>
      <c r="G625" s="185" t="s">
        <v>366</v>
      </c>
      <c r="H625" s="185">
        <v>1</v>
      </c>
      <c r="I625" s="186">
        <v>2826.2</v>
      </c>
      <c r="J625" s="186">
        <v>2772.3</v>
      </c>
      <c r="K625" s="186">
        <v>1324.2</v>
      </c>
      <c r="L625" s="187">
        <v>97</v>
      </c>
      <c r="M625" s="185" t="s">
        <v>271</v>
      </c>
      <c r="N625" s="185" t="s">
        <v>275</v>
      </c>
      <c r="O625" s="188" t="s">
        <v>1100</v>
      </c>
      <c r="P625" s="189">
        <v>100000</v>
      </c>
      <c r="Q625" s="189">
        <v>0</v>
      </c>
      <c r="R625" s="189">
        <v>0</v>
      </c>
      <c r="S625" s="189">
        <f t="shared" si="91"/>
        <v>100000</v>
      </c>
      <c r="T625" s="189">
        <f t="shared" si="85"/>
        <v>35.38320005661312</v>
      </c>
      <c r="U625" s="189">
        <f t="shared" si="92"/>
        <v>35.38320005661312</v>
      </c>
      <c r="V625" s="170">
        <f t="shared" si="89"/>
        <v>0</v>
      </c>
      <c r="W625" s="170"/>
      <c r="X625" s="170"/>
      <c r="Y625" s="173">
        <f t="shared" si="90"/>
        <v>776.00877503361414</v>
      </c>
      <c r="AA625" s="173">
        <f t="shared" si="86"/>
        <v>420</v>
      </c>
      <c r="AC625" s="173" t="s">
        <v>64</v>
      </c>
      <c r="AD625" s="173">
        <v>470</v>
      </c>
      <c r="AH625" s="173" t="e">
        <f t="shared" si="87"/>
        <v>#N/A</v>
      </c>
      <c r="AS625" s="173" t="e">
        <f t="shared" si="88"/>
        <v>#N/A</v>
      </c>
    </row>
    <row r="626" spans="1:45" s="173" customFormat="1" ht="36" customHeight="1" x14ac:dyDescent="0.9">
      <c r="A626" s="173">
        <v>1</v>
      </c>
      <c r="B626" s="91">
        <f>SUBTOTAL(103,$A$546:A626)</f>
        <v>81</v>
      </c>
      <c r="C626" s="90" t="s">
        <v>586</v>
      </c>
      <c r="D626" s="185" t="s">
        <v>325</v>
      </c>
      <c r="E626" s="185"/>
      <c r="F626" s="191" t="s">
        <v>319</v>
      </c>
      <c r="G626" s="185" t="s">
        <v>360</v>
      </c>
      <c r="H626" s="185">
        <v>3</v>
      </c>
      <c r="I626" s="186">
        <v>2495.6</v>
      </c>
      <c r="J626" s="186">
        <v>2297</v>
      </c>
      <c r="K626" s="186">
        <v>2070.8000000000002</v>
      </c>
      <c r="L626" s="187">
        <v>94</v>
      </c>
      <c r="M626" s="185" t="s">
        <v>271</v>
      </c>
      <c r="N626" s="185" t="s">
        <v>275</v>
      </c>
      <c r="O626" s="188" t="s">
        <v>1697</v>
      </c>
      <c r="P626" s="189">
        <v>100000</v>
      </c>
      <c r="Q626" s="189">
        <v>0</v>
      </c>
      <c r="R626" s="189">
        <v>0</v>
      </c>
      <c r="S626" s="189">
        <f t="shared" si="91"/>
        <v>100000</v>
      </c>
      <c r="T626" s="189">
        <f t="shared" si="85"/>
        <v>40.070524122455524</v>
      </c>
      <c r="U626" s="189">
        <f t="shared" si="92"/>
        <v>40.070524122455524</v>
      </c>
      <c r="V626" s="170">
        <f t="shared" si="89"/>
        <v>0</v>
      </c>
      <c r="W626" s="170"/>
      <c r="X626" s="170"/>
      <c r="Y626" s="173">
        <f t="shared" si="90"/>
        <v>1240.7947587754447</v>
      </c>
      <c r="AA626" s="173">
        <f t="shared" si="86"/>
        <v>593</v>
      </c>
      <c r="AC626" s="173" t="s">
        <v>70</v>
      </c>
      <c r="AD626" s="173">
        <v>615.76</v>
      </c>
      <c r="AH626" s="173" t="e">
        <f t="shared" si="87"/>
        <v>#N/A</v>
      </c>
      <c r="AS626" s="173" t="e">
        <f t="shared" si="88"/>
        <v>#N/A</v>
      </c>
    </row>
    <row r="627" spans="1:45" s="173" customFormat="1" ht="36" customHeight="1" x14ac:dyDescent="0.9">
      <c r="A627" s="173">
        <v>1</v>
      </c>
      <c r="B627" s="91">
        <f>SUBTOTAL(103,$A$546:A627)</f>
        <v>82</v>
      </c>
      <c r="C627" s="90" t="s">
        <v>1676</v>
      </c>
      <c r="D627" s="185">
        <v>1986</v>
      </c>
      <c r="E627" s="185"/>
      <c r="F627" s="191" t="s">
        <v>319</v>
      </c>
      <c r="G627" s="185">
        <v>9</v>
      </c>
      <c r="H627" s="185">
        <v>2</v>
      </c>
      <c r="I627" s="186">
        <v>4291.79</v>
      </c>
      <c r="J627" s="186">
        <v>3870.3</v>
      </c>
      <c r="K627" s="186">
        <v>3608.2</v>
      </c>
      <c r="L627" s="187">
        <v>180</v>
      </c>
      <c r="M627" s="185" t="s">
        <v>271</v>
      </c>
      <c r="N627" s="185" t="s">
        <v>275</v>
      </c>
      <c r="O627" s="188" t="s">
        <v>1411</v>
      </c>
      <c r="P627" s="189">
        <v>100001.92</v>
      </c>
      <c r="Q627" s="189">
        <v>0</v>
      </c>
      <c r="R627" s="189">
        <v>0</v>
      </c>
      <c r="S627" s="189">
        <f t="shared" si="91"/>
        <v>100001.92</v>
      </c>
      <c r="T627" s="189">
        <f t="shared" si="85"/>
        <v>23.300748638679899</v>
      </c>
      <c r="U627" s="189">
        <f t="shared" si="92"/>
        <v>23.300748638679899</v>
      </c>
      <c r="V627" s="170">
        <f t="shared" si="89"/>
        <v>0</v>
      </c>
      <c r="W627" s="170"/>
      <c r="X627" s="170"/>
      <c r="Y627" s="173">
        <f t="shared" si="90"/>
        <v>680.13257871424287</v>
      </c>
      <c r="AA627" s="173">
        <f t="shared" si="86"/>
        <v>559</v>
      </c>
      <c r="AC627" s="173" t="s">
        <v>71</v>
      </c>
      <c r="AD627" s="173">
        <v>458</v>
      </c>
      <c r="AH627" s="173" t="e">
        <f t="shared" si="87"/>
        <v>#N/A</v>
      </c>
      <c r="AS627" s="173" t="e">
        <f t="shared" si="88"/>
        <v>#N/A</v>
      </c>
    </row>
    <row r="628" spans="1:45" s="173" customFormat="1" ht="36" customHeight="1" x14ac:dyDescent="0.9">
      <c r="A628" s="173">
        <v>1</v>
      </c>
      <c r="B628" s="91">
        <f>SUBTOTAL(103,$A$546:A628)</f>
        <v>83</v>
      </c>
      <c r="C628" s="90" t="s">
        <v>587</v>
      </c>
      <c r="D628" s="185" t="s">
        <v>378</v>
      </c>
      <c r="E628" s="185"/>
      <c r="F628" s="191" t="s">
        <v>273</v>
      </c>
      <c r="G628" s="185" t="s">
        <v>366</v>
      </c>
      <c r="H628" s="185">
        <v>1</v>
      </c>
      <c r="I628" s="186">
        <v>6352.8</v>
      </c>
      <c r="J628" s="186">
        <v>4687.3999999999996</v>
      </c>
      <c r="K628" s="186">
        <v>2543.4</v>
      </c>
      <c r="L628" s="187">
        <v>211</v>
      </c>
      <c r="M628" s="185" t="s">
        <v>271</v>
      </c>
      <c r="N628" s="185" t="s">
        <v>275</v>
      </c>
      <c r="O628" s="188" t="s">
        <v>1116</v>
      </c>
      <c r="P628" s="189">
        <v>100000</v>
      </c>
      <c r="Q628" s="189">
        <v>0</v>
      </c>
      <c r="R628" s="189">
        <v>0</v>
      </c>
      <c r="S628" s="189">
        <f t="shared" si="91"/>
        <v>100000</v>
      </c>
      <c r="T628" s="189">
        <f t="shared" si="85"/>
        <v>15.741090542752801</v>
      </c>
      <c r="U628" s="189">
        <f t="shared" si="92"/>
        <v>15.741090542752801</v>
      </c>
      <c r="V628" s="170">
        <f t="shared" si="89"/>
        <v>0</v>
      </c>
      <c r="W628" s="170"/>
      <c r="X628" s="170"/>
      <c r="Y628" s="173">
        <f t="shared" si="90"/>
        <v>652.64280317340388</v>
      </c>
      <c r="AA628" s="173">
        <f t="shared" si="86"/>
        <v>794</v>
      </c>
      <c r="AC628" s="173" t="s">
        <v>72</v>
      </c>
      <c r="AD628" s="173">
        <v>940</v>
      </c>
      <c r="AH628" s="173" t="e">
        <f t="shared" si="87"/>
        <v>#N/A</v>
      </c>
      <c r="AS628" s="173" t="e">
        <f t="shared" si="88"/>
        <v>#N/A</v>
      </c>
    </row>
    <row r="629" spans="1:45" s="173" customFormat="1" ht="36" customHeight="1" x14ac:dyDescent="0.9">
      <c r="A629" s="173">
        <v>1</v>
      </c>
      <c r="B629" s="91">
        <f>SUBTOTAL(103,$A$546:A629)</f>
        <v>84</v>
      </c>
      <c r="C629" s="90" t="s">
        <v>1677</v>
      </c>
      <c r="D629" s="185">
        <v>1986</v>
      </c>
      <c r="E629" s="185"/>
      <c r="F629" s="191" t="s">
        <v>273</v>
      </c>
      <c r="G629" s="185">
        <v>5</v>
      </c>
      <c r="H629" s="185">
        <v>6</v>
      </c>
      <c r="I629" s="186">
        <v>4921.8</v>
      </c>
      <c r="J629" s="186">
        <v>3740</v>
      </c>
      <c r="K629" s="186">
        <v>3478.1</v>
      </c>
      <c r="L629" s="187">
        <v>200</v>
      </c>
      <c r="M629" s="185" t="s">
        <v>271</v>
      </c>
      <c r="N629" s="185" t="s">
        <v>275</v>
      </c>
      <c r="O629" s="188" t="s">
        <v>1116</v>
      </c>
      <c r="P629" s="189">
        <v>100000</v>
      </c>
      <c r="Q629" s="189">
        <v>0</v>
      </c>
      <c r="R629" s="189">
        <v>0</v>
      </c>
      <c r="S629" s="189">
        <f t="shared" si="91"/>
        <v>100000</v>
      </c>
      <c r="T629" s="189">
        <f t="shared" si="85"/>
        <v>20.317769921573408</v>
      </c>
      <c r="U629" s="189">
        <f t="shared" si="92"/>
        <v>20.317769921573408</v>
      </c>
      <c r="V629" s="170">
        <f t="shared" si="89"/>
        <v>0</v>
      </c>
      <c r="W629" s="170"/>
      <c r="X629" s="170"/>
      <c r="Y629" s="173">
        <f t="shared" si="90"/>
        <v>1419.5555284651957</v>
      </c>
      <c r="AA629" s="173">
        <f t="shared" si="86"/>
        <v>1338</v>
      </c>
      <c r="AC629" s="173" t="s">
        <v>73</v>
      </c>
      <c r="AD629" s="173">
        <v>645.79999999999995</v>
      </c>
      <c r="AH629" s="173" t="e">
        <f t="shared" si="87"/>
        <v>#N/A</v>
      </c>
      <c r="AS629" s="173" t="e">
        <f t="shared" si="88"/>
        <v>#N/A</v>
      </c>
    </row>
    <row r="630" spans="1:45" s="173" customFormat="1" ht="36" customHeight="1" x14ac:dyDescent="0.9">
      <c r="A630" s="173">
        <v>1</v>
      </c>
      <c r="B630" s="91">
        <f>SUBTOTAL(103,$A$546:A630)</f>
        <v>85</v>
      </c>
      <c r="C630" s="90" t="s">
        <v>588</v>
      </c>
      <c r="D630" s="185" t="s">
        <v>379</v>
      </c>
      <c r="E630" s="185"/>
      <c r="F630" s="191" t="s">
        <v>319</v>
      </c>
      <c r="G630" s="185" t="s">
        <v>360</v>
      </c>
      <c r="H630" s="185">
        <v>4</v>
      </c>
      <c r="I630" s="186">
        <v>4042.4</v>
      </c>
      <c r="J630" s="186">
        <v>3045.4</v>
      </c>
      <c r="K630" s="186">
        <v>2978.7</v>
      </c>
      <c r="L630" s="187">
        <v>118</v>
      </c>
      <c r="M630" s="185" t="s">
        <v>271</v>
      </c>
      <c r="N630" s="185" t="s">
        <v>275</v>
      </c>
      <c r="O630" s="188" t="s">
        <v>1349</v>
      </c>
      <c r="P630" s="189">
        <v>100000</v>
      </c>
      <c r="Q630" s="189">
        <v>0</v>
      </c>
      <c r="R630" s="189">
        <v>0</v>
      </c>
      <c r="S630" s="189">
        <f t="shared" si="91"/>
        <v>100000</v>
      </c>
      <c r="T630" s="189">
        <f t="shared" si="85"/>
        <v>24.737779536908768</v>
      </c>
      <c r="U630" s="189">
        <f t="shared" si="92"/>
        <v>24.737779536908768</v>
      </c>
      <c r="V630" s="170">
        <f t="shared" si="89"/>
        <v>0</v>
      </c>
      <c r="W630" s="170"/>
      <c r="X630" s="170"/>
      <c r="Y630" s="173">
        <f t="shared" si="90"/>
        <v>981.99395408668124</v>
      </c>
      <c r="AA630" s="173">
        <f t="shared" si="86"/>
        <v>760.2</v>
      </c>
      <c r="AC630" s="173" t="s">
        <v>1610</v>
      </c>
      <c r="AD630" s="173">
        <v>1320</v>
      </c>
      <c r="AH630" s="173" t="e">
        <f t="shared" si="87"/>
        <v>#N/A</v>
      </c>
      <c r="AS630" s="173" t="e">
        <f t="shared" si="88"/>
        <v>#N/A</v>
      </c>
    </row>
    <row r="631" spans="1:45" s="173" customFormat="1" ht="36" customHeight="1" x14ac:dyDescent="0.9">
      <c r="A631" s="173">
        <v>1</v>
      </c>
      <c r="B631" s="91">
        <f>SUBTOTAL(103,$A$546:A631)</f>
        <v>86</v>
      </c>
      <c r="C631" s="90" t="s">
        <v>589</v>
      </c>
      <c r="D631" s="185">
        <v>1971</v>
      </c>
      <c r="E631" s="185"/>
      <c r="F631" s="191" t="s">
        <v>273</v>
      </c>
      <c r="G631" s="185">
        <v>5</v>
      </c>
      <c r="H631" s="185">
        <v>5</v>
      </c>
      <c r="I631" s="186">
        <v>4541.8</v>
      </c>
      <c r="J631" s="186">
        <v>4541.8</v>
      </c>
      <c r="K631" s="186">
        <v>4403.2</v>
      </c>
      <c r="L631" s="187">
        <v>250</v>
      </c>
      <c r="M631" s="185" t="s">
        <v>271</v>
      </c>
      <c r="N631" s="185" t="s">
        <v>275</v>
      </c>
      <c r="O631" s="188" t="s">
        <v>1412</v>
      </c>
      <c r="P631" s="189">
        <v>100000</v>
      </c>
      <c r="Q631" s="189">
        <v>0</v>
      </c>
      <c r="R631" s="189">
        <v>0</v>
      </c>
      <c r="S631" s="189">
        <f t="shared" si="91"/>
        <v>100000</v>
      </c>
      <c r="T631" s="189">
        <f t="shared" si="85"/>
        <v>22.017702232595006</v>
      </c>
      <c r="U631" s="189">
        <f t="shared" si="92"/>
        <v>22.017702232595006</v>
      </c>
      <c r="V631" s="170">
        <f t="shared" si="89"/>
        <v>0</v>
      </c>
      <c r="W631" s="170"/>
      <c r="X631" s="170"/>
      <c r="Y631" s="173">
        <f t="shared" si="90"/>
        <v>1449.1075608789467</v>
      </c>
      <c r="AA631" s="173">
        <f t="shared" si="86"/>
        <v>1260.4000000000001</v>
      </c>
      <c r="AC631" s="173" t="s">
        <v>231</v>
      </c>
      <c r="AD631" s="173">
        <v>925</v>
      </c>
      <c r="AH631" s="173" t="e">
        <f t="shared" si="87"/>
        <v>#N/A</v>
      </c>
      <c r="AS631" s="173" t="e">
        <f t="shared" si="88"/>
        <v>#N/A</v>
      </c>
    </row>
    <row r="632" spans="1:45" s="173" customFormat="1" ht="36" customHeight="1" x14ac:dyDescent="0.9">
      <c r="A632" s="173">
        <v>1</v>
      </c>
      <c r="B632" s="91">
        <f>SUBTOTAL(103,$A$546:A632)</f>
        <v>87</v>
      </c>
      <c r="C632" s="90" t="s">
        <v>590</v>
      </c>
      <c r="D632" s="185" t="s">
        <v>317</v>
      </c>
      <c r="E632" s="185"/>
      <c r="F632" s="191" t="s">
        <v>319</v>
      </c>
      <c r="G632" s="185" t="s">
        <v>360</v>
      </c>
      <c r="H632" s="185">
        <v>6</v>
      </c>
      <c r="I632" s="186">
        <v>6071.1</v>
      </c>
      <c r="J632" s="186">
        <v>4547.3999999999996</v>
      </c>
      <c r="K632" s="186">
        <v>4155.2</v>
      </c>
      <c r="L632" s="187">
        <v>204</v>
      </c>
      <c r="M632" s="185" t="s">
        <v>271</v>
      </c>
      <c r="N632" s="185" t="s">
        <v>275</v>
      </c>
      <c r="O632" s="188" t="s">
        <v>1349</v>
      </c>
      <c r="P632" s="189">
        <v>100000</v>
      </c>
      <c r="Q632" s="189">
        <v>0</v>
      </c>
      <c r="R632" s="189">
        <v>0</v>
      </c>
      <c r="S632" s="189">
        <f t="shared" si="91"/>
        <v>100000</v>
      </c>
      <c r="T632" s="189">
        <f t="shared" si="85"/>
        <v>16.471479633015434</v>
      </c>
      <c r="U632" s="189">
        <f t="shared" si="92"/>
        <v>16.471479633015434</v>
      </c>
      <c r="V632" s="170">
        <f t="shared" si="89"/>
        <v>0</v>
      </c>
      <c r="W632" s="170"/>
      <c r="X632" s="170"/>
      <c r="Y632" s="173">
        <f t="shared" si="90"/>
        <v>989.98398972179666</v>
      </c>
      <c r="AA632" s="173">
        <f t="shared" si="86"/>
        <v>1151</v>
      </c>
      <c r="AC632" s="173" t="s">
        <v>162</v>
      </c>
      <c r="AD632" s="173">
        <v>1501.50709241</v>
      </c>
      <c r="AH632" s="173" t="e">
        <f t="shared" si="87"/>
        <v>#N/A</v>
      </c>
      <c r="AS632" s="173" t="e">
        <f t="shared" si="88"/>
        <v>#N/A</v>
      </c>
    </row>
    <row r="633" spans="1:45" s="173" customFormat="1" ht="36" customHeight="1" x14ac:dyDescent="0.9">
      <c r="A633" s="173">
        <v>1</v>
      </c>
      <c r="B633" s="91">
        <f>SUBTOTAL(103,$A$546:A633)</f>
        <v>88</v>
      </c>
      <c r="C633" s="90" t="s">
        <v>591</v>
      </c>
      <c r="D633" s="185" t="s">
        <v>377</v>
      </c>
      <c r="E633" s="185"/>
      <c r="F633" s="191" t="s">
        <v>319</v>
      </c>
      <c r="G633" s="185" t="s">
        <v>380</v>
      </c>
      <c r="H633" s="185">
        <v>2</v>
      </c>
      <c r="I633" s="186">
        <v>2963</v>
      </c>
      <c r="J633" s="186">
        <v>2175.9</v>
      </c>
      <c r="K633" s="186">
        <v>2084.1</v>
      </c>
      <c r="L633" s="187">
        <v>123</v>
      </c>
      <c r="M633" s="185" t="s">
        <v>271</v>
      </c>
      <c r="N633" s="185" t="s">
        <v>275</v>
      </c>
      <c r="O633" s="188" t="s">
        <v>1349</v>
      </c>
      <c r="P633" s="189">
        <v>100000</v>
      </c>
      <c r="Q633" s="189">
        <v>0</v>
      </c>
      <c r="R633" s="189">
        <v>0</v>
      </c>
      <c r="S633" s="189">
        <f t="shared" si="91"/>
        <v>100000</v>
      </c>
      <c r="T633" s="189">
        <f t="shared" si="85"/>
        <v>33.74957813027337</v>
      </c>
      <c r="U633" s="189">
        <f t="shared" si="92"/>
        <v>33.74957813027337</v>
      </c>
      <c r="V633" s="170">
        <f t="shared" si="89"/>
        <v>0</v>
      </c>
      <c r="W633" s="170"/>
      <c r="X633" s="170"/>
      <c r="Y633" s="173">
        <f t="shared" si="90"/>
        <v>818.95729328383391</v>
      </c>
      <c r="AA633" s="173">
        <f t="shared" si="86"/>
        <v>464.7</v>
      </c>
      <c r="AC633" s="173" t="s">
        <v>169</v>
      </c>
      <c r="AD633" s="173">
        <v>771.1</v>
      </c>
      <c r="AH633" s="173" t="e">
        <f t="shared" si="87"/>
        <v>#N/A</v>
      </c>
      <c r="AS633" s="173" t="e">
        <f t="shared" si="88"/>
        <v>#N/A</v>
      </c>
    </row>
    <row r="634" spans="1:45" s="173" customFormat="1" ht="36" customHeight="1" x14ac:dyDescent="0.9">
      <c r="A634" s="173">
        <v>1</v>
      </c>
      <c r="B634" s="91">
        <f>SUBTOTAL(103,$A$546:A634)</f>
        <v>89</v>
      </c>
      <c r="C634" s="90" t="s">
        <v>592</v>
      </c>
      <c r="D634" s="185" t="s">
        <v>321</v>
      </c>
      <c r="E634" s="185"/>
      <c r="F634" s="191" t="s">
        <v>319</v>
      </c>
      <c r="G634" s="185" t="s">
        <v>380</v>
      </c>
      <c r="H634" s="185">
        <v>2</v>
      </c>
      <c r="I634" s="186">
        <v>2482.1</v>
      </c>
      <c r="J634" s="186">
        <v>2181.5500000000002</v>
      </c>
      <c r="K634" s="186">
        <v>1858.6</v>
      </c>
      <c r="L634" s="187">
        <v>96</v>
      </c>
      <c r="M634" s="185" t="s">
        <v>271</v>
      </c>
      <c r="N634" s="185" t="s">
        <v>275</v>
      </c>
      <c r="O634" s="188" t="s">
        <v>1410</v>
      </c>
      <c r="P634" s="189">
        <v>99900</v>
      </c>
      <c r="Q634" s="189">
        <v>0</v>
      </c>
      <c r="R634" s="189">
        <v>0</v>
      </c>
      <c r="S634" s="189">
        <f t="shared" si="91"/>
        <v>99900</v>
      </c>
      <c r="T634" s="189">
        <f t="shared" si="85"/>
        <v>40.248176946940092</v>
      </c>
      <c r="U634" s="189">
        <f t="shared" si="92"/>
        <v>40.248176946940092</v>
      </c>
      <c r="V634" s="170">
        <f t="shared" si="89"/>
        <v>0</v>
      </c>
      <c r="W634" s="170"/>
      <c r="X634" s="170"/>
      <c r="Y634" s="173">
        <f t="shared" si="90"/>
        <v>977.58592482172367</v>
      </c>
      <c r="AA634" s="173">
        <f t="shared" si="86"/>
        <v>464.68</v>
      </c>
      <c r="AC634" s="173" t="s">
        <v>167</v>
      </c>
      <c r="AD634" s="173">
        <v>878.4</v>
      </c>
      <c r="AH634" s="173" t="e">
        <f t="shared" si="87"/>
        <v>#N/A</v>
      </c>
      <c r="AS634" s="173" t="e">
        <f t="shared" si="88"/>
        <v>#N/A</v>
      </c>
    </row>
    <row r="635" spans="1:45" s="173" customFormat="1" ht="36" customHeight="1" x14ac:dyDescent="0.9">
      <c r="A635" s="173">
        <v>1</v>
      </c>
      <c r="B635" s="91">
        <f>SUBTOTAL(103,$A$546:A635)</f>
        <v>90</v>
      </c>
      <c r="C635" s="90" t="s">
        <v>1678</v>
      </c>
      <c r="D635" s="185">
        <v>1962</v>
      </c>
      <c r="E635" s="185"/>
      <c r="F635" s="191" t="s">
        <v>273</v>
      </c>
      <c r="G635" s="185">
        <v>4</v>
      </c>
      <c r="H635" s="185">
        <v>3</v>
      </c>
      <c r="I635" s="186">
        <v>2169.3000000000002</v>
      </c>
      <c r="J635" s="186">
        <v>1836.7</v>
      </c>
      <c r="K635" s="186">
        <v>1836.7</v>
      </c>
      <c r="L635" s="187">
        <v>110</v>
      </c>
      <c r="M635" s="185" t="s">
        <v>271</v>
      </c>
      <c r="N635" s="185" t="s">
        <v>275</v>
      </c>
      <c r="O635" s="188" t="s">
        <v>1116</v>
      </c>
      <c r="P635" s="189">
        <v>100000</v>
      </c>
      <c r="Q635" s="189">
        <v>0</v>
      </c>
      <c r="R635" s="189">
        <v>0</v>
      </c>
      <c r="S635" s="189">
        <f t="shared" si="91"/>
        <v>100000</v>
      </c>
      <c r="T635" s="189">
        <f t="shared" si="85"/>
        <v>46.097819573134188</v>
      </c>
      <c r="U635" s="189">
        <f t="shared" si="92"/>
        <v>46.097819573134188</v>
      </c>
      <c r="V635" s="170">
        <f t="shared" si="89"/>
        <v>0</v>
      </c>
      <c r="W635" s="170"/>
      <c r="X635" s="170"/>
      <c r="Y635" s="173">
        <f t="shared" si="90"/>
        <v>1993.1085603650947</v>
      </c>
      <c r="AA635" s="173">
        <f t="shared" si="86"/>
        <v>828</v>
      </c>
      <c r="AC635" s="173" t="s">
        <v>166</v>
      </c>
      <c r="AD635" s="173">
        <v>313.55860000000001</v>
      </c>
      <c r="AH635" s="173" t="e">
        <f t="shared" si="87"/>
        <v>#N/A</v>
      </c>
      <c r="AS635" s="173" t="e">
        <f t="shared" si="88"/>
        <v>#N/A</v>
      </c>
    </row>
    <row r="636" spans="1:45" s="173" customFormat="1" ht="36" customHeight="1" x14ac:dyDescent="0.9">
      <c r="A636" s="173">
        <v>1</v>
      </c>
      <c r="B636" s="91">
        <f>SUBTOTAL(103,$A$546:A636)</f>
        <v>91</v>
      </c>
      <c r="C636" s="90" t="s">
        <v>593</v>
      </c>
      <c r="D636" s="185" t="s">
        <v>381</v>
      </c>
      <c r="E636" s="185"/>
      <c r="F636" s="191" t="s">
        <v>319</v>
      </c>
      <c r="G636" s="185" t="s">
        <v>360</v>
      </c>
      <c r="H636" s="185">
        <v>4</v>
      </c>
      <c r="I636" s="186">
        <v>3579.9</v>
      </c>
      <c r="J636" s="186">
        <v>3134.6</v>
      </c>
      <c r="K636" s="186">
        <v>3134.6</v>
      </c>
      <c r="L636" s="187">
        <v>151</v>
      </c>
      <c r="M636" s="185" t="s">
        <v>271</v>
      </c>
      <c r="N636" s="185" t="s">
        <v>275</v>
      </c>
      <c r="O636" s="188" t="s">
        <v>1411</v>
      </c>
      <c r="P636" s="189">
        <v>100000</v>
      </c>
      <c r="Q636" s="189">
        <v>0</v>
      </c>
      <c r="R636" s="189">
        <v>0</v>
      </c>
      <c r="S636" s="189">
        <f t="shared" si="91"/>
        <v>100000</v>
      </c>
      <c r="T636" s="189">
        <f t="shared" si="85"/>
        <v>27.933741165954356</v>
      </c>
      <c r="U636" s="189">
        <f t="shared" si="92"/>
        <v>27.933741165954356</v>
      </c>
      <c r="V636" s="170">
        <f t="shared" si="89"/>
        <v>0</v>
      </c>
      <c r="W636" s="170"/>
      <c r="X636" s="170"/>
      <c r="Y636" s="173">
        <f t="shared" si="90"/>
        <v>1338.5976870862314</v>
      </c>
      <c r="AA636" s="173">
        <f t="shared" si="86"/>
        <v>917.7</v>
      </c>
      <c r="AC636" s="173" t="s">
        <v>163</v>
      </c>
      <c r="AD636" s="173">
        <v>1276.79</v>
      </c>
      <c r="AH636" s="173" t="e">
        <f t="shared" si="87"/>
        <v>#N/A</v>
      </c>
      <c r="AS636" s="173" t="e">
        <f t="shared" si="88"/>
        <v>#N/A</v>
      </c>
    </row>
    <row r="637" spans="1:45" s="173" customFormat="1" ht="36" customHeight="1" x14ac:dyDescent="0.9">
      <c r="A637" s="173">
        <v>1</v>
      </c>
      <c r="B637" s="91">
        <f>SUBTOTAL(103,$A$546:A637)</f>
        <v>92</v>
      </c>
      <c r="C637" s="90" t="s">
        <v>594</v>
      </c>
      <c r="D637" s="185" t="s">
        <v>382</v>
      </c>
      <c r="E637" s="185"/>
      <c r="F637" s="191" t="s">
        <v>273</v>
      </c>
      <c r="G637" s="185" t="s">
        <v>320</v>
      </c>
      <c r="H637" s="185">
        <v>1</v>
      </c>
      <c r="I637" s="186">
        <v>1637</v>
      </c>
      <c r="J637" s="186">
        <v>983.6</v>
      </c>
      <c r="K637" s="186">
        <v>768.5</v>
      </c>
      <c r="L637" s="187">
        <v>71</v>
      </c>
      <c r="M637" s="185" t="s">
        <v>271</v>
      </c>
      <c r="N637" s="185" t="s">
        <v>275</v>
      </c>
      <c r="O637" s="188" t="s">
        <v>1410</v>
      </c>
      <c r="P637" s="189">
        <v>100000</v>
      </c>
      <c r="Q637" s="189">
        <v>0</v>
      </c>
      <c r="R637" s="189">
        <v>0</v>
      </c>
      <c r="S637" s="189">
        <f t="shared" si="91"/>
        <v>100000</v>
      </c>
      <c r="T637" s="189">
        <f t="shared" si="85"/>
        <v>61.087354917532068</v>
      </c>
      <c r="U637" s="189">
        <f t="shared" si="92"/>
        <v>61.087354917532068</v>
      </c>
      <c r="V637" s="170">
        <f t="shared" si="89"/>
        <v>0</v>
      </c>
      <c r="W637" s="170"/>
      <c r="X637" s="170"/>
      <c r="Y637" s="173">
        <f t="shared" si="90"/>
        <v>2472.1411117898597</v>
      </c>
      <c r="AA637" s="173">
        <f t="shared" si="86"/>
        <v>775</v>
      </c>
      <c r="AC637" s="173" t="s">
        <v>164</v>
      </c>
      <c r="AD637" s="173">
        <v>866.32</v>
      </c>
      <c r="AH637" s="173" t="e">
        <f t="shared" si="87"/>
        <v>#N/A</v>
      </c>
      <c r="AS637" s="173" t="e">
        <f t="shared" si="88"/>
        <v>#N/A</v>
      </c>
    </row>
    <row r="638" spans="1:45" s="173" customFormat="1" ht="36" customHeight="1" x14ac:dyDescent="0.9">
      <c r="A638" s="173">
        <v>1</v>
      </c>
      <c r="B638" s="91">
        <f>SUBTOTAL(103,$A$546:A638)</f>
        <v>93</v>
      </c>
      <c r="C638" s="90" t="s">
        <v>595</v>
      </c>
      <c r="D638" s="185" t="s">
        <v>318</v>
      </c>
      <c r="E638" s="185"/>
      <c r="F638" s="191" t="s">
        <v>319</v>
      </c>
      <c r="G638" s="185" t="s">
        <v>360</v>
      </c>
      <c r="H638" s="185">
        <v>3</v>
      </c>
      <c r="I638" s="186">
        <v>2249.1</v>
      </c>
      <c r="J638" s="186">
        <v>2046.7</v>
      </c>
      <c r="K638" s="186">
        <v>2046.7</v>
      </c>
      <c r="L638" s="187">
        <v>97</v>
      </c>
      <c r="M638" s="185" t="s">
        <v>271</v>
      </c>
      <c r="N638" s="185" t="s">
        <v>275</v>
      </c>
      <c r="O638" s="188" t="s">
        <v>1411</v>
      </c>
      <c r="P638" s="189">
        <v>100000</v>
      </c>
      <c r="Q638" s="189">
        <v>0</v>
      </c>
      <c r="R638" s="189">
        <v>0</v>
      </c>
      <c r="S638" s="189">
        <f t="shared" si="91"/>
        <v>100000</v>
      </c>
      <c r="T638" s="189">
        <f t="shared" si="85"/>
        <v>44.462229336178915</v>
      </c>
      <c r="U638" s="189">
        <f t="shared" si="92"/>
        <v>44.462229336178915</v>
      </c>
      <c r="V638" s="170">
        <f t="shared" si="89"/>
        <v>0</v>
      </c>
      <c r="W638" s="170"/>
      <c r="X638" s="170"/>
      <c r="Y638" s="173">
        <f t="shared" si="90"/>
        <v>1293.202881152461</v>
      </c>
      <c r="AA638" s="173">
        <f t="shared" si="86"/>
        <v>557</v>
      </c>
      <c r="AC638" s="173" t="s">
        <v>165</v>
      </c>
      <c r="AD638" s="173">
        <v>748.2</v>
      </c>
      <c r="AH638" s="173" t="e">
        <f t="shared" si="87"/>
        <v>#N/A</v>
      </c>
      <c r="AS638" s="173" t="e">
        <f t="shared" si="88"/>
        <v>#N/A</v>
      </c>
    </row>
    <row r="639" spans="1:45" s="173" customFormat="1" ht="36" customHeight="1" x14ac:dyDescent="0.9">
      <c r="A639" s="173">
        <v>1</v>
      </c>
      <c r="B639" s="91">
        <f>SUBTOTAL(103,$A$546:A639)</f>
        <v>94</v>
      </c>
      <c r="C639" s="90" t="s">
        <v>596</v>
      </c>
      <c r="D639" s="185" t="s">
        <v>318</v>
      </c>
      <c r="E639" s="185"/>
      <c r="F639" s="191" t="s">
        <v>273</v>
      </c>
      <c r="G639" s="185" t="s">
        <v>360</v>
      </c>
      <c r="H639" s="185">
        <v>1</v>
      </c>
      <c r="I639" s="186">
        <v>867.9</v>
      </c>
      <c r="J639" s="186">
        <v>809.2</v>
      </c>
      <c r="K639" s="186">
        <v>766.2</v>
      </c>
      <c r="L639" s="187">
        <v>36</v>
      </c>
      <c r="M639" s="185" t="s">
        <v>271</v>
      </c>
      <c r="N639" s="185" t="s">
        <v>275</v>
      </c>
      <c r="O639" s="188" t="s">
        <v>1424</v>
      </c>
      <c r="P639" s="189">
        <v>100000</v>
      </c>
      <c r="Q639" s="189">
        <v>0</v>
      </c>
      <c r="R639" s="189">
        <v>0</v>
      </c>
      <c r="S639" s="189">
        <f t="shared" si="91"/>
        <v>100000</v>
      </c>
      <c r="T639" s="189">
        <f t="shared" si="85"/>
        <v>115.22064754003918</v>
      </c>
      <c r="U639" s="189">
        <f t="shared" si="92"/>
        <v>115.22064754003918</v>
      </c>
      <c r="V639" s="170">
        <f t="shared" si="89"/>
        <v>0</v>
      </c>
      <c r="W639" s="170"/>
      <c r="X639" s="170"/>
      <c r="Y639" s="173">
        <f t="shared" si="90"/>
        <v>1359.7497407535432</v>
      </c>
      <c r="AA639" s="173">
        <f t="shared" si="86"/>
        <v>226</v>
      </c>
      <c r="AC639" s="173" t="s">
        <v>161</v>
      </c>
      <c r="AD639" s="173">
        <v>741.79</v>
      </c>
      <c r="AH639" s="173" t="e">
        <f t="shared" si="87"/>
        <v>#N/A</v>
      </c>
      <c r="AS639" s="173" t="e">
        <f t="shared" si="88"/>
        <v>#N/A</v>
      </c>
    </row>
    <row r="640" spans="1:45" s="173" customFormat="1" ht="36" customHeight="1" x14ac:dyDescent="0.9">
      <c r="A640" s="173">
        <v>1</v>
      </c>
      <c r="B640" s="91">
        <f>SUBTOTAL(103,$A$546:A640)</f>
        <v>95</v>
      </c>
      <c r="C640" s="90" t="s">
        <v>597</v>
      </c>
      <c r="D640" s="185" t="s">
        <v>383</v>
      </c>
      <c r="E640" s="185"/>
      <c r="F640" s="191" t="s">
        <v>319</v>
      </c>
      <c r="G640" s="185" t="s">
        <v>360</v>
      </c>
      <c r="H640" s="185">
        <v>3</v>
      </c>
      <c r="I640" s="186">
        <v>2653.8</v>
      </c>
      <c r="J640" s="186">
        <v>2443.1</v>
      </c>
      <c r="K640" s="186">
        <v>2354.1</v>
      </c>
      <c r="L640" s="187">
        <v>102</v>
      </c>
      <c r="M640" s="185" t="s">
        <v>271</v>
      </c>
      <c r="N640" s="185" t="s">
        <v>275</v>
      </c>
      <c r="O640" s="188" t="s">
        <v>1100</v>
      </c>
      <c r="P640" s="189">
        <v>100000</v>
      </c>
      <c r="Q640" s="189">
        <v>0</v>
      </c>
      <c r="R640" s="189">
        <v>0</v>
      </c>
      <c r="S640" s="189">
        <f t="shared" si="91"/>
        <v>100000</v>
      </c>
      <c r="T640" s="189">
        <f t="shared" si="85"/>
        <v>37.681814756198655</v>
      </c>
      <c r="U640" s="189">
        <f t="shared" si="92"/>
        <v>37.681814756198655</v>
      </c>
      <c r="V640" s="170">
        <f t="shared" si="89"/>
        <v>0</v>
      </c>
      <c r="W640" s="170"/>
      <c r="X640" s="170"/>
      <c r="Y640" s="173">
        <f t="shared" si="90"/>
        <v>1243.5668098575627</v>
      </c>
      <c r="AA640" s="173">
        <f t="shared" si="86"/>
        <v>632</v>
      </c>
      <c r="AC640" s="173" t="s">
        <v>139</v>
      </c>
      <c r="AD640" s="173">
        <v>995</v>
      </c>
      <c r="AH640" s="173" t="e">
        <f t="shared" si="87"/>
        <v>#N/A</v>
      </c>
      <c r="AS640" s="173" t="e">
        <f t="shared" si="88"/>
        <v>#N/A</v>
      </c>
    </row>
    <row r="641" spans="1:45" s="173" customFormat="1" ht="36" customHeight="1" x14ac:dyDescent="0.9">
      <c r="A641" s="173">
        <v>1</v>
      </c>
      <c r="B641" s="91">
        <f>SUBTOTAL(103,$A$546:A641)</f>
        <v>96</v>
      </c>
      <c r="C641" s="90" t="s">
        <v>598</v>
      </c>
      <c r="D641" s="185" t="s">
        <v>383</v>
      </c>
      <c r="E641" s="185"/>
      <c r="F641" s="191" t="s">
        <v>319</v>
      </c>
      <c r="G641" s="185" t="s">
        <v>360</v>
      </c>
      <c r="H641" s="185">
        <v>3</v>
      </c>
      <c r="I641" s="186">
        <v>2632.8</v>
      </c>
      <c r="J641" s="186">
        <v>2351.9</v>
      </c>
      <c r="K641" s="186">
        <v>2335.8000000000002</v>
      </c>
      <c r="L641" s="187">
        <v>107</v>
      </c>
      <c r="M641" s="185" t="s">
        <v>271</v>
      </c>
      <c r="N641" s="185" t="s">
        <v>275</v>
      </c>
      <c r="O641" s="188" t="s">
        <v>1100</v>
      </c>
      <c r="P641" s="189">
        <v>100000</v>
      </c>
      <c r="Q641" s="189">
        <v>0</v>
      </c>
      <c r="R641" s="189">
        <v>0</v>
      </c>
      <c r="S641" s="189">
        <f t="shared" si="91"/>
        <v>100000</v>
      </c>
      <c r="T641" s="189">
        <f t="shared" si="85"/>
        <v>37.982376177453659</v>
      </c>
      <c r="U641" s="189">
        <f t="shared" si="92"/>
        <v>37.982376177453659</v>
      </c>
      <c r="V641" s="170">
        <f t="shared" si="89"/>
        <v>0</v>
      </c>
      <c r="W641" s="170"/>
      <c r="X641" s="170"/>
      <c r="Y641" s="173">
        <f t="shared" si="90"/>
        <v>1253.4858705560619</v>
      </c>
      <c r="AA641" s="173">
        <f t="shared" si="86"/>
        <v>632</v>
      </c>
      <c r="AC641" s="173" t="s">
        <v>101</v>
      </c>
      <c r="AD641" s="173">
        <v>800</v>
      </c>
      <c r="AH641" s="173" t="e">
        <f t="shared" si="87"/>
        <v>#N/A</v>
      </c>
      <c r="AS641" s="173" t="e">
        <f t="shared" si="88"/>
        <v>#N/A</v>
      </c>
    </row>
    <row r="642" spans="1:45" s="173" customFormat="1" ht="36" customHeight="1" x14ac:dyDescent="0.9">
      <c r="A642" s="173">
        <v>1</v>
      </c>
      <c r="B642" s="91">
        <f>SUBTOTAL(103,$A$546:A642)</f>
        <v>97</v>
      </c>
      <c r="C642" s="90" t="s">
        <v>599</v>
      </c>
      <c r="D642" s="185" t="s">
        <v>318</v>
      </c>
      <c r="E642" s="185"/>
      <c r="F642" s="191" t="s">
        <v>273</v>
      </c>
      <c r="G642" s="185" t="s">
        <v>366</v>
      </c>
      <c r="H642" s="185">
        <v>1</v>
      </c>
      <c r="I642" s="186">
        <v>3626.2</v>
      </c>
      <c r="J642" s="186">
        <v>3322.8</v>
      </c>
      <c r="K642" s="186">
        <v>3152.1</v>
      </c>
      <c r="L642" s="187">
        <v>152</v>
      </c>
      <c r="M642" s="185" t="s">
        <v>271</v>
      </c>
      <c r="N642" s="185" t="s">
        <v>275</v>
      </c>
      <c r="O642" s="188" t="s">
        <v>1100</v>
      </c>
      <c r="P642" s="189">
        <v>100000</v>
      </c>
      <c r="Q642" s="189">
        <v>0</v>
      </c>
      <c r="R642" s="189">
        <v>0</v>
      </c>
      <c r="S642" s="189">
        <f t="shared" si="91"/>
        <v>100000</v>
      </c>
      <c r="T642" s="189">
        <f t="shared" si="85"/>
        <v>27.577077932822238</v>
      </c>
      <c r="U642" s="189">
        <f t="shared" si="92"/>
        <v>27.577077932822238</v>
      </c>
      <c r="V642" s="170">
        <f t="shared" si="89"/>
        <v>0</v>
      </c>
      <c r="W642" s="170"/>
      <c r="X642" s="170"/>
      <c r="Y642" s="173">
        <f t="shared" si="90"/>
        <v>1036.8142959572003</v>
      </c>
      <c r="AA642" s="173">
        <f t="shared" si="86"/>
        <v>720</v>
      </c>
      <c r="AC642" s="173" t="s">
        <v>102</v>
      </c>
      <c r="AD642" s="173">
        <v>966</v>
      </c>
      <c r="AH642" s="173" t="e">
        <f t="shared" si="87"/>
        <v>#N/A</v>
      </c>
      <c r="AS642" s="173" t="e">
        <f t="shared" si="88"/>
        <v>#N/A</v>
      </c>
    </row>
    <row r="643" spans="1:45" s="173" customFormat="1" ht="36" customHeight="1" x14ac:dyDescent="0.9">
      <c r="A643" s="173">
        <v>1</v>
      </c>
      <c r="B643" s="91">
        <f>SUBTOTAL(103,$A$546:A643)</f>
        <v>98</v>
      </c>
      <c r="C643" s="90" t="s">
        <v>600</v>
      </c>
      <c r="D643" s="185" t="s">
        <v>384</v>
      </c>
      <c r="E643" s="185"/>
      <c r="F643" s="191" t="s">
        <v>319</v>
      </c>
      <c r="G643" s="185" t="s">
        <v>360</v>
      </c>
      <c r="H643" s="185">
        <v>4</v>
      </c>
      <c r="I643" s="186">
        <v>3861</v>
      </c>
      <c r="J643" s="186">
        <v>3604.2</v>
      </c>
      <c r="K643" s="186">
        <v>3552.1</v>
      </c>
      <c r="L643" s="187">
        <v>165</v>
      </c>
      <c r="M643" s="185" t="s">
        <v>271</v>
      </c>
      <c r="N643" s="185" t="s">
        <v>275</v>
      </c>
      <c r="O643" s="188" t="s">
        <v>1100</v>
      </c>
      <c r="P643" s="189">
        <v>100000</v>
      </c>
      <c r="Q643" s="189">
        <v>0</v>
      </c>
      <c r="R643" s="189">
        <v>0</v>
      </c>
      <c r="S643" s="189">
        <f t="shared" si="91"/>
        <v>100000</v>
      </c>
      <c r="T643" s="189">
        <f t="shared" si="85"/>
        <v>25.900025900025899</v>
      </c>
      <c r="U643" s="189">
        <f t="shared" si="92"/>
        <v>25.900025900025899</v>
      </c>
      <c r="V643" s="170">
        <f t="shared" si="89"/>
        <v>0</v>
      </c>
      <c r="W643" s="170"/>
      <c r="X643" s="170"/>
      <c r="Y643" s="173">
        <f t="shared" si="90"/>
        <v>1313.2265734265734</v>
      </c>
      <c r="AA643" s="173">
        <f t="shared" si="86"/>
        <v>971</v>
      </c>
      <c r="AC643" s="173" t="s">
        <v>106</v>
      </c>
      <c r="AD643" s="173">
        <v>694</v>
      </c>
      <c r="AH643" s="173" t="e">
        <f t="shared" si="87"/>
        <v>#N/A</v>
      </c>
      <c r="AS643" s="173" t="e">
        <f t="shared" si="88"/>
        <v>#N/A</v>
      </c>
    </row>
    <row r="644" spans="1:45" s="173" customFormat="1" ht="36" customHeight="1" x14ac:dyDescent="0.9">
      <c r="A644" s="173">
        <v>1</v>
      </c>
      <c r="B644" s="91">
        <f>SUBTOTAL(103,$A$546:A644)</f>
        <v>99</v>
      </c>
      <c r="C644" s="90" t="s">
        <v>601</v>
      </c>
      <c r="D644" s="185" t="s">
        <v>385</v>
      </c>
      <c r="E644" s="185"/>
      <c r="F644" s="191" t="s">
        <v>273</v>
      </c>
      <c r="G644" s="185" t="s">
        <v>366</v>
      </c>
      <c r="H644" s="185">
        <v>1</v>
      </c>
      <c r="I644" s="186">
        <v>1800.4</v>
      </c>
      <c r="J644" s="186">
        <v>1643.1</v>
      </c>
      <c r="K644" s="186">
        <v>1043.0999999999999</v>
      </c>
      <c r="L644" s="187">
        <v>59</v>
      </c>
      <c r="M644" s="185" t="s">
        <v>271</v>
      </c>
      <c r="N644" s="185" t="s">
        <v>275</v>
      </c>
      <c r="O644" s="188" t="s">
        <v>1694</v>
      </c>
      <c r="P644" s="189">
        <v>100000</v>
      </c>
      <c r="Q644" s="189">
        <v>0</v>
      </c>
      <c r="R644" s="189">
        <v>0</v>
      </c>
      <c r="S644" s="189">
        <f t="shared" si="91"/>
        <v>100000</v>
      </c>
      <c r="T644" s="189">
        <f t="shared" si="85"/>
        <v>55.543212619417908</v>
      </c>
      <c r="U644" s="189">
        <f t="shared" si="92"/>
        <v>55.543212619417908</v>
      </c>
      <c r="V644" s="170">
        <f t="shared" si="89"/>
        <v>0</v>
      </c>
      <c r="W644" s="170"/>
      <c r="X644" s="170"/>
      <c r="Y644" s="173" t="e">
        <f t="shared" si="90"/>
        <v>#N/A</v>
      </c>
      <c r="AA644" s="173" t="e">
        <f t="shared" si="86"/>
        <v>#N/A</v>
      </c>
      <c r="AC644" s="173" t="s">
        <v>103</v>
      </c>
      <c r="AD644" s="173">
        <v>590</v>
      </c>
      <c r="AH644" s="173" t="e">
        <f t="shared" si="87"/>
        <v>#N/A</v>
      </c>
      <c r="AR644" s="173">
        <f>AS644*2207413/I644</f>
        <v>1226.0680959786714</v>
      </c>
      <c r="AS644" s="173">
        <f t="shared" si="88"/>
        <v>1</v>
      </c>
    </row>
    <row r="645" spans="1:45" s="173" customFormat="1" ht="36" customHeight="1" x14ac:dyDescent="0.9">
      <c r="A645" s="173">
        <v>1</v>
      </c>
      <c r="B645" s="91">
        <f>SUBTOTAL(103,$A$546:A645)</f>
        <v>100</v>
      </c>
      <c r="C645" s="90" t="s">
        <v>602</v>
      </c>
      <c r="D645" s="185">
        <v>1962</v>
      </c>
      <c r="E645" s="185"/>
      <c r="F645" s="191" t="s">
        <v>273</v>
      </c>
      <c r="G645" s="185">
        <v>5</v>
      </c>
      <c r="H645" s="185">
        <v>4</v>
      </c>
      <c r="I645" s="186">
        <v>4073.9</v>
      </c>
      <c r="J645" s="186">
        <v>3133.8</v>
      </c>
      <c r="K645" s="186">
        <v>2004.3</v>
      </c>
      <c r="L645" s="187">
        <v>154</v>
      </c>
      <c r="M645" s="185" t="s">
        <v>271</v>
      </c>
      <c r="N645" s="185" t="s">
        <v>275</v>
      </c>
      <c r="O645" s="188" t="s">
        <v>1116</v>
      </c>
      <c r="P645" s="189">
        <v>100000</v>
      </c>
      <c r="Q645" s="189">
        <v>0</v>
      </c>
      <c r="R645" s="189">
        <v>0</v>
      </c>
      <c r="S645" s="189">
        <f t="shared" si="91"/>
        <v>100000</v>
      </c>
      <c r="T645" s="189">
        <f t="shared" si="85"/>
        <v>24.546503350597707</v>
      </c>
      <c r="U645" s="189">
        <f t="shared" si="92"/>
        <v>24.546503350597707</v>
      </c>
      <c r="V645" s="170">
        <f t="shared" si="89"/>
        <v>0</v>
      </c>
      <c r="W645" s="170"/>
      <c r="X645" s="170"/>
      <c r="Y645" s="173">
        <f t="shared" si="90"/>
        <v>1081.8132992955154</v>
      </c>
      <c r="AA645" s="173">
        <f t="shared" si="86"/>
        <v>844</v>
      </c>
      <c r="AC645" s="173" t="s">
        <v>104</v>
      </c>
      <c r="AD645" s="173">
        <v>253</v>
      </c>
      <c r="AH645" s="173" t="e">
        <f t="shared" si="87"/>
        <v>#N/A</v>
      </c>
      <c r="AS645" s="173" t="e">
        <f t="shared" si="88"/>
        <v>#N/A</v>
      </c>
    </row>
    <row r="646" spans="1:45" s="173" customFormat="1" ht="36" customHeight="1" x14ac:dyDescent="0.9">
      <c r="A646" s="173">
        <v>1</v>
      </c>
      <c r="B646" s="91">
        <f>SUBTOTAL(103,$A$546:A646)</f>
        <v>101</v>
      </c>
      <c r="C646" s="90" t="s">
        <v>1679</v>
      </c>
      <c r="D646" s="185">
        <v>1962</v>
      </c>
      <c r="E646" s="185"/>
      <c r="F646" s="191" t="s">
        <v>273</v>
      </c>
      <c r="G646" s="185">
        <v>4</v>
      </c>
      <c r="H646" s="185">
        <v>3</v>
      </c>
      <c r="I646" s="186">
        <v>2132.1</v>
      </c>
      <c r="J646" s="186">
        <v>1746.6</v>
      </c>
      <c r="K646" s="186">
        <v>1691.5</v>
      </c>
      <c r="L646" s="187">
        <v>107</v>
      </c>
      <c r="M646" s="185" t="s">
        <v>271</v>
      </c>
      <c r="N646" s="185" t="s">
        <v>275</v>
      </c>
      <c r="O646" s="188" t="s">
        <v>1116</v>
      </c>
      <c r="P646" s="189">
        <v>100000</v>
      </c>
      <c r="Q646" s="189">
        <v>0</v>
      </c>
      <c r="R646" s="189">
        <v>0</v>
      </c>
      <c r="S646" s="189">
        <f t="shared" si="91"/>
        <v>100000</v>
      </c>
      <c r="T646" s="189">
        <f t="shared" si="85"/>
        <v>46.902115285399375</v>
      </c>
      <c r="U646" s="189">
        <f t="shared" si="92"/>
        <v>46.902115285399375</v>
      </c>
      <c r="V646" s="170">
        <f t="shared" si="89"/>
        <v>0</v>
      </c>
      <c r="W646" s="170"/>
      <c r="X646" s="170"/>
      <c r="Y646" s="173">
        <f t="shared" si="90"/>
        <v>2351.169269734065</v>
      </c>
      <c r="AA646" s="173">
        <f t="shared" si="86"/>
        <v>960</v>
      </c>
      <c r="AC646" s="173" t="s">
        <v>105</v>
      </c>
      <c r="AD646" s="173">
        <v>247</v>
      </c>
      <c r="AH646" s="173" t="e">
        <f t="shared" si="87"/>
        <v>#N/A</v>
      </c>
      <c r="AS646" s="173" t="e">
        <f t="shared" si="88"/>
        <v>#N/A</v>
      </c>
    </row>
    <row r="647" spans="1:45" s="173" customFormat="1" ht="36" customHeight="1" x14ac:dyDescent="0.9">
      <c r="A647" s="173">
        <v>1</v>
      </c>
      <c r="B647" s="91">
        <f>SUBTOTAL(103,$A$546:A647)</f>
        <v>102</v>
      </c>
      <c r="C647" s="90" t="s">
        <v>1680</v>
      </c>
      <c r="D647" s="185">
        <v>1961</v>
      </c>
      <c r="E647" s="185"/>
      <c r="F647" s="191" t="s">
        <v>273</v>
      </c>
      <c r="G647" s="185">
        <v>5</v>
      </c>
      <c r="H647" s="185">
        <v>4</v>
      </c>
      <c r="I647" s="186">
        <v>3214.5</v>
      </c>
      <c r="J647" s="186">
        <v>2566.5</v>
      </c>
      <c r="K647" s="186">
        <v>2416.1999999999998</v>
      </c>
      <c r="L647" s="187">
        <v>167</v>
      </c>
      <c r="M647" s="185" t="s">
        <v>271</v>
      </c>
      <c r="N647" s="185" t="s">
        <v>275</v>
      </c>
      <c r="O647" s="188" t="s">
        <v>1116</v>
      </c>
      <c r="P647" s="189">
        <v>100000</v>
      </c>
      <c r="Q647" s="189">
        <v>0</v>
      </c>
      <c r="R647" s="189">
        <v>0</v>
      </c>
      <c r="S647" s="189">
        <f t="shared" si="91"/>
        <v>100000</v>
      </c>
      <c r="T647" s="189">
        <f t="shared" si="85"/>
        <v>31.109037175299424</v>
      </c>
      <c r="U647" s="189">
        <f t="shared" si="92"/>
        <v>31.109037175299424</v>
      </c>
      <c r="V647" s="170">
        <f t="shared" si="89"/>
        <v>0</v>
      </c>
      <c r="W647" s="170"/>
      <c r="X647" s="170"/>
      <c r="Y647" s="173">
        <f t="shared" si="90"/>
        <v>1746.2855809612693</v>
      </c>
      <c r="AA647" s="173">
        <f t="shared" si="86"/>
        <v>1075</v>
      </c>
      <c r="AC647" s="173" t="s">
        <v>198</v>
      </c>
      <c r="AD647" s="173">
        <v>696</v>
      </c>
      <c r="AH647" s="173" t="e">
        <f t="shared" si="87"/>
        <v>#N/A</v>
      </c>
      <c r="AS647" s="173" t="e">
        <f t="shared" si="88"/>
        <v>#N/A</v>
      </c>
    </row>
    <row r="648" spans="1:45" s="173" customFormat="1" ht="36" customHeight="1" x14ac:dyDescent="0.9">
      <c r="A648" s="173">
        <v>1</v>
      </c>
      <c r="B648" s="91">
        <f>SUBTOTAL(103,$A$546:A648)</f>
        <v>103</v>
      </c>
      <c r="C648" s="90" t="s">
        <v>603</v>
      </c>
      <c r="D648" s="185" t="s">
        <v>369</v>
      </c>
      <c r="E648" s="185"/>
      <c r="F648" s="191" t="s">
        <v>319</v>
      </c>
      <c r="G648" s="185" t="s">
        <v>360</v>
      </c>
      <c r="H648" s="185">
        <v>4</v>
      </c>
      <c r="I648" s="186">
        <v>4425.6000000000004</v>
      </c>
      <c r="J648" s="186">
        <v>3128.2</v>
      </c>
      <c r="K648" s="186">
        <v>1799.3</v>
      </c>
      <c r="L648" s="187">
        <v>137</v>
      </c>
      <c r="M648" s="185" t="s">
        <v>271</v>
      </c>
      <c r="N648" s="185" t="s">
        <v>275</v>
      </c>
      <c r="O648" s="188" t="s">
        <v>1116</v>
      </c>
      <c r="P648" s="189">
        <v>100000</v>
      </c>
      <c r="Q648" s="189">
        <v>0</v>
      </c>
      <c r="R648" s="189">
        <v>0</v>
      </c>
      <c r="S648" s="189">
        <f t="shared" si="91"/>
        <v>100000</v>
      </c>
      <c r="T648" s="189">
        <f t="shared" si="85"/>
        <v>22.595806218365869</v>
      </c>
      <c r="U648" s="189">
        <f t="shared" si="92"/>
        <v>22.595806218365869</v>
      </c>
      <c r="V648" s="170">
        <f t="shared" si="89"/>
        <v>0</v>
      </c>
      <c r="W648" s="170"/>
      <c r="X648" s="170"/>
      <c r="Y648" s="173">
        <f t="shared" si="90"/>
        <v>981.68329718004338</v>
      </c>
      <c r="AA648" s="173">
        <f t="shared" si="86"/>
        <v>832</v>
      </c>
      <c r="AC648" s="173" t="s">
        <v>1397</v>
      </c>
      <c r="AD648" s="173">
        <v>720</v>
      </c>
      <c r="AH648" s="173" t="e">
        <f t="shared" si="87"/>
        <v>#N/A</v>
      </c>
      <c r="AS648" s="173" t="e">
        <f t="shared" si="88"/>
        <v>#N/A</v>
      </c>
    </row>
    <row r="649" spans="1:45" s="173" customFormat="1" ht="36" customHeight="1" x14ac:dyDescent="0.9">
      <c r="A649" s="173">
        <v>1</v>
      </c>
      <c r="B649" s="91">
        <f>SUBTOTAL(103,$A$546:A649)</f>
        <v>104</v>
      </c>
      <c r="C649" s="90" t="s">
        <v>604</v>
      </c>
      <c r="D649" s="185" t="s">
        <v>379</v>
      </c>
      <c r="E649" s="185"/>
      <c r="F649" s="191" t="s">
        <v>319</v>
      </c>
      <c r="G649" s="185" t="s">
        <v>360</v>
      </c>
      <c r="H649" s="185">
        <v>3</v>
      </c>
      <c r="I649" s="186">
        <v>2899.7</v>
      </c>
      <c r="J649" s="186">
        <v>2636.4</v>
      </c>
      <c r="K649" s="186">
        <v>2071.8000000000002</v>
      </c>
      <c r="L649" s="187">
        <v>83</v>
      </c>
      <c r="M649" s="185" t="s">
        <v>271</v>
      </c>
      <c r="N649" s="185" t="s">
        <v>275</v>
      </c>
      <c r="O649" s="188" t="s">
        <v>1100</v>
      </c>
      <c r="P649" s="189">
        <v>100000</v>
      </c>
      <c r="Q649" s="189">
        <v>0</v>
      </c>
      <c r="R649" s="189">
        <v>0</v>
      </c>
      <c r="S649" s="189">
        <f t="shared" si="91"/>
        <v>100000</v>
      </c>
      <c r="T649" s="189">
        <f t="shared" si="85"/>
        <v>34.486326171672935</v>
      </c>
      <c r="U649" s="189">
        <f t="shared" si="92"/>
        <v>34.486326171672935</v>
      </c>
      <c r="V649" s="170">
        <f t="shared" si="89"/>
        <v>0</v>
      </c>
      <c r="W649" s="170"/>
      <c r="X649" s="170"/>
      <c r="Y649" s="173">
        <f t="shared" si="90"/>
        <v>1119.2015380901473</v>
      </c>
      <c r="AA649" s="173">
        <f t="shared" si="86"/>
        <v>621.5</v>
      </c>
      <c r="AC649" s="173" t="s">
        <v>819</v>
      </c>
      <c r="AD649" s="173">
        <v>351</v>
      </c>
      <c r="AH649" s="173" t="e">
        <f t="shared" si="87"/>
        <v>#N/A</v>
      </c>
      <c r="AS649" s="173" t="e">
        <f t="shared" si="88"/>
        <v>#N/A</v>
      </c>
    </row>
    <row r="650" spans="1:45" s="173" customFormat="1" ht="36" customHeight="1" x14ac:dyDescent="0.9">
      <c r="A650" s="173">
        <v>1</v>
      </c>
      <c r="B650" s="91">
        <f>SUBTOTAL(103,$A$546:A650)</f>
        <v>105</v>
      </c>
      <c r="C650" s="90" t="s">
        <v>605</v>
      </c>
      <c r="D650" s="185">
        <v>1959</v>
      </c>
      <c r="E650" s="185"/>
      <c r="F650" s="191" t="s">
        <v>273</v>
      </c>
      <c r="G650" s="185">
        <v>5</v>
      </c>
      <c r="H650" s="185">
        <v>3</v>
      </c>
      <c r="I650" s="186">
        <v>5255.6</v>
      </c>
      <c r="J650" s="186">
        <v>3803.1</v>
      </c>
      <c r="K650" s="186">
        <v>2288.9</v>
      </c>
      <c r="L650" s="187">
        <v>136</v>
      </c>
      <c r="M650" s="185" t="s">
        <v>271</v>
      </c>
      <c r="N650" s="185" t="s">
        <v>275</v>
      </c>
      <c r="O650" s="188" t="s">
        <v>1116</v>
      </c>
      <c r="P650" s="189">
        <v>100000</v>
      </c>
      <c r="Q650" s="189">
        <v>0</v>
      </c>
      <c r="R650" s="189">
        <v>0</v>
      </c>
      <c r="S650" s="189">
        <f t="shared" si="91"/>
        <v>100000</v>
      </c>
      <c r="T650" s="189">
        <f t="shared" si="85"/>
        <v>19.027323236167135</v>
      </c>
      <c r="U650" s="189">
        <f t="shared" si="92"/>
        <v>19.027323236167135</v>
      </c>
      <c r="V650" s="170">
        <f t="shared" si="89"/>
        <v>0</v>
      </c>
      <c r="W650" s="170"/>
      <c r="X650" s="170"/>
      <c r="Y650" s="173">
        <f t="shared" si="90"/>
        <v>1437.6940025877159</v>
      </c>
      <c r="AA650" s="173">
        <f t="shared" si="86"/>
        <v>1447</v>
      </c>
      <c r="AC650" s="173" t="s">
        <v>201</v>
      </c>
      <c r="AD650" s="173">
        <v>376</v>
      </c>
      <c r="AH650" s="173" t="e">
        <f t="shared" si="87"/>
        <v>#N/A</v>
      </c>
      <c r="AS650" s="173" t="e">
        <f t="shared" si="88"/>
        <v>#N/A</v>
      </c>
    </row>
    <row r="651" spans="1:45" s="173" customFormat="1" ht="36" customHeight="1" x14ac:dyDescent="0.9">
      <c r="A651" s="173">
        <v>1</v>
      </c>
      <c r="B651" s="91">
        <f>SUBTOTAL(103,$A$546:A651)</f>
        <v>106</v>
      </c>
      <c r="C651" s="90" t="s">
        <v>606</v>
      </c>
      <c r="D651" s="185" t="s">
        <v>370</v>
      </c>
      <c r="E651" s="185"/>
      <c r="F651" s="191" t="s">
        <v>273</v>
      </c>
      <c r="G651" s="185" t="s">
        <v>360</v>
      </c>
      <c r="H651" s="185">
        <v>3</v>
      </c>
      <c r="I651" s="186">
        <v>2923.9</v>
      </c>
      <c r="J651" s="186">
        <v>2704.4</v>
      </c>
      <c r="K651" s="186">
        <v>1930.7</v>
      </c>
      <c r="L651" s="187">
        <v>105</v>
      </c>
      <c r="M651" s="185" t="s">
        <v>271</v>
      </c>
      <c r="N651" s="185" t="s">
        <v>275</v>
      </c>
      <c r="O651" s="188" t="s">
        <v>1697</v>
      </c>
      <c r="P651" s="189">
        <v>100000</v>
      </c>
      <c r="Q651" s="189">
        <v>0</v>
      </c>
      <c r="R651" s="189">
        <v>0</v>
      </c>
      <c r="S651" s="189">
        <f t="shared" si="91"/>
        <v>100000</v>
      </c>
      <c r="T651" s="189">
        <f t="shared" si="85"/>
        <v>34.200896063476861</v>
      </c>
      <c r="U651" s="189">
        <f t="shared" si="92"/>
        <v>34.200896063476861</v>
      </c>
      <c r="V651" s="170">
        <f t="shared" si="89"/>
        <v>0</v>
      </c>
      <c r="W651" s="170"/>
      <c r="X651" s="170"/>
      <c r="Y651" s="173" t="e">
        <f t="shared" si="90"/>
        <v>#N/A</v>
      </c>
      <c r="AA651" s="173" t="e">
        <f t="shared" si="86"/>
        <v>#N/A</v>
      </c>
      <c r="AC651" s="173" t="s">
        <v>218</v>
      </c>
      <c r="AD651" s="173">
        <v>1177</v>
      </c>
      <c r="AG651" s="173">
        <f>AH651*6191.24/J651</f>
        <v>3516.3972193462505</v>
      </c>
      <c r="AH651" s="173">
        <f t="shared" si="87"/>
        <v>1536</v>
      </c>
      <c r="AS651" s="173" t="e">
        <f t="shared" si="88"/>
        <v>#N/A</v>
      </c>
    </row>
    <row r="652" spans="1:45" s="173" customFormat="1" ht="36" customHeight="1" x14ac:dyDescent="0.9">
      <c r="A652" s="173">
        <v>1</v>
      </c>
      <c r="B652" s="91">
        <f>SUBTOTAL(103,$A$546:A652)</f>
        <v>107</v>
      </c>
      <c r="C652" s="90" t="s">
        <v>607</v>
      </c>
      <c r="D652" s="185" t="s">
        <v>321</v>
      </c>
      <c r="E652" s="185"/>
      <c r="F652" s="191" t="s">
        <v>319</v>
      </c>
      <c r="G652" s="185" t="s">
        <v>360</v>
      </c>
      <c r="H652" s="185">
        <v>5</v>
      </c>
      <c r="I652" s="186">
        <v>4700.6000000000004</v>
      </c>
      <c r="J652" s="186">
        <v>3460</v>
      </c>
      <c r="K652" s="186">
        <v>3460</v>
      </c>
      <c r="L652" s="187">
        <v>133</v>
      </c>
      <c r="M652" s="185" t="s">
        <v>271</v>
      </c>
      <c r="N652" s="185" t="s">
        <v>275</v>
      </c>
      <c r="O652" s="188" t="s">
        <v>1698</v>
      </c>
      <c r="P652" s="189">
        <v>100000</v>
      </c>
      <c r="Q652" s="189">
        <v>0</v>
      </c>
      <c r="R652" s="189">
        <v>0</v>
      </c>
      <c r="S652" s="189">
        <f t="shared" si="91"/>
        <v>100000</v>
      </c>
      <c r="T652" s="189">
        <f t="shared" si="85"/>
        <v>21.273879930221671</v>
      </c>
      <c r="U652" s="189">
        <f t="shared" si="92"/>
        <v>21.273879930221671</v>
      </c>
      <c r="V652" s="170">
        <f t="shared" si="89"/>
        <v>0</v>
      </c>
      <c r="W652" s="170"/>
      <c r="X652" s="170"/>
      <c r="Y652" s="173">
        <f t="shared" si="90"/>
        <v>1043.2269029485597</v>
      </c>
      <c r="AA652" s="173">
        <f t="shared" si="86"/>
        <v>939.1</v>
      </c>
      <c r="AC652" s="173" t="s">
        <v>219</v>
      </c>
      <c r="AD652" s="173">
        <v>796</v>
      </c>
      <c r="AH652" s="173" t="e">
        <f t="shared" si="87"/>
        <v>#N/A</v>
      </c>
      <c r="AS652" s="173" t="e">
        <f t="shared" si="88"/>
        <v>#N/A</v>
      </c>
    </row>
    <row r="653" spans="1:45" s="173" customFormat="1" ht="36" customHeight="1" x14ac:dyDescent="0.9">
      <c r="A653" s="173">
        <v>1</v>
      </c>
      <c r="B653" s="91">
        <f>SUBTOTAL(103,$A$546:A653)</f>
        <v>108</v>
      </c>
      <c r="C653" s="90" t="s">
        <v>608</v>
      </c>
      <c r="D653" s="185" t="s">
        <v>318</v>
      </c>
      <c r="E653" s="185"/>
      <c r="F653" s="191" t="s">
        <v>273</v>
      </c>
      <c r="G653" s="185" t="s">
        <v>360</v>
      </c>
      <c r="H653" s="185">
        <v>4</v>
      </c>
      <c r="I653" s="186">
        <v>2288.5</v>
      </c>
      <c r="J653" s="186">
        <v>2288.5</v>
      </c>
      <c r="K653" s="186">
        <v>2288.5</v>
      </c>
      <c r="L653" s="187">
        <v>98</v>
      </c>
      <c r="M653" s="185" t="s">
        <v>271</v>
      </c>
      <c r="N653" s="185" t="s">
        <v>275</v>
      </c>
      <c r="O653" s="188" t="s">
        <v>1685</v>
      </c>
      <c r="P653" s="189">
        <v>100000</v>
      </c>
      <c r="Q653" s="189">
        <v>0</v>
      </c>
      <c r="R653" s="189">
        <v>0</v>
      </c>
      <c r="S653" s="189">
        <f t="shared" si="91"/>
        <v>100000</v>
      </c>
      <c r="T653" s="189">
        <f t="shared" si="85"/>
        <v>43.696744592527857</v>
      </c>
      <c r="U653" s="189">
        <f t="shared" si="92"/>
        <v>43.696744592527857</v>
      </c>
      <c r="V653" s="170">
        <f t="shared" si="89"/>
        <v>0</v>
      </c>
      <c r="W653" s="170"/>
      <c r="X653" s="170"/>
      <c r="Y653" s="173">
        <f t="shared" si="90"/>
        <v>1341.6728861699803</v>
      </c>
      <c r="AA653" s="173">
        <f t="shared" si="86"/>
        <v>588</v>
      </c>
      <c r="AC653" s="173" t="s">
        <v>220</v>
      </c>
      <c r="AD653" s="173">
        <v>849</v>
      </c>
      <c r="AH653" s="173" t="e">
        <f t="shared" si="87"/>
        <v>#N/A</v>
      </c>
      <c r="AS653" s="173" t="e">
        <f t="shared" si="88"/>
        <v>#N/A</v>
      </c>
    </row>
    <row r="654" spans="1:45" s="173" customFormat="1" ht="36" customHeight="1" x14ac:dyDescent="0.9">
      <c r="A654" s="173">
        <v>1</v>
      </c>
      <c r="B654" s="91">
        <f>SUBTOTAL(103,$A$546:A654)</f>
        <v>109</v>
      </c>
      <c r="C654" s="90" t="s">
        <v>609</v>
      </c>
      <c r="D654" s="185">
        <v>1961</v>
      </c>
      <c r="E654" s="185"/>
      <c r="F654" s="191" t="s">
        <v>273</v>
      </c>
      <c r="G654" s="185">
        <v>5</v>
      </c>
      <c r="H654" s="185">
        <v>2</v>
      </c>
      <c r="I654" s="186">
        <v>1703.9</v>
      </c>
      <c r="J654" s="186">
        <v>1558.5</v>
      </c>
      <c r="K654" s="186">
        <v>1516.4</v>
      </c>
      <c r="L654" s="187">
        <v>58</v>
      </c>
      <c r="M654" s="185" t="s">
        <v>271</v>
      </c>
      <c r="N654" s="185" t="s">
        <v>275</v>
      </c>
      <c r="O654" s="188" t="s">
        <v>1424</v>
      </c>
      <c r="P654" s="189">
        <v>120000.25</v>
      </c>
      <c r="Q654" s="189">
        <v>0</v>
      </c>
      <c r="R654" s="189">
        <v>0</v>
      </c>
      <c r="S654" s="189">
        <f t="shared" si="91"/>
        <v>120000.25</v>
      </c>
      <c r="T654" s="189">
        <f t="shared" ref="T654:T718" si="93">P654/I654</f>
        <v>70.426814953929224</v>
      </c>
      <c r="U654" s="189">
        <f t="shared" si="92"/>
        <v>70.426814953929224</v>
      </c>
      <c r="V654" s="170">
        <f t="shared" si="89"/>
        <v>0</v>
      </c>
      <c r="W654" s="170"/>
      <c r="X654" s="170"/>
      <c r="Y654" s="173" t="e">
        <f t="shared" si="90"/>
        <v>#N/A</v>
      </c>
      <c r="AA654" s="173" t="e">
        <f t="shared" si="86"/>
        <v>#N/A</v>
      </c>
      <c r="AC654" s="173" t="s">
        <v>226</v>
      </c>
      <c r="AD654" s="173">
        <v>666</v>
      </c>
      <c r="AG654" s="173">
        <f>AH654*6191.24/J654</f>
        <v>5660.9027911453322</v>
      </c>
      <c r="AH654" s="173">
        <f t="shared" si="87"/>
        <v>1425</v>
      </c>
      <c r="AS654" s="173" t="e">
        <f t="shared" si="88"/>
        <v>#N/A</v>
      </c>
    </row>
    <row r="655" spans="1:45" s="173" customFormat="1" ht="36" customHeight="1" x14ac:dyDescent="0.9">
      <c r="A655" s="173">
        <v>1</v>
      </c>
      <c r="B655" s="91">
        <f>SUBTOTAL(103,$A$546:A655)</f>
        <v>110</v>
      </c>
      <c r="C655" s="90" t="s">
        <v>610</v>
      </c>
      <c r="D655" s="185" t="s">
        <v>386</v>
      </c>
      <c r="E655" s="185"/>
      <c r="F655" s="191" t="s">
        <v>319</v>
      </c>
      <c r="G655" s="185" t="s">
        <v>360</v>
      </c>
      <c r="H655" s="185">
        <v>3</v>
      </c>
      <c r="I655" s="186">
        <v>2065.4</v>
      </c>
      <c r="J655" s="186">
        <v>1169.5</v>
      </c>
      <c r="K655" s="186">
        <v>1169.5</v>
      </c>
      <c r="L655" s="187">
        <v>91</v>
      </c>
      <c r="M655" s="185" t="s">
        <v>271</v>
      </c>
      <c r="N655" s="185" t="s">
        <v>275</v>
      </c>
      <c r="O655" s="188" t="s">
        <v>1692</v>
      </c>
      <c r="P655" s="189">
        <v>100000</v>
      </c>
      <c r="Q655" s="189">
        <v>0</v>
      </c>
      <c r="R655" s="189">
        <v>0</v>
      </c>
      <c r="S655" s="189">
        <f t="shared" si="91"/>
        <v>100000</v>
      </c>
      <c r="T655" s="189">
        <f t="shared" si="93"/>
        <v>48.416771569671731</v>
      </c>
      <c r="U655" s="189">
        <f t="shared" si="92"/>
        <v>48.416771569671731</v>
      </c>
      <c r="V655" s="170">
        <f t="shared" si="89"/>
        <v>0</v>
      </c>
      <c r="W655" s="170"/>
      <c r="X655" s="170"/>
      <c r="Y655" s="173">
        <f t="shared" si="90"/>
        <v>1420.8635615377166</v>
      </c>
      <c r="AA655" s="173">
        <f t="shared" si="86"/>
        <v>562</v>
      </c>
      <c r="AH655" s="173" t="e">
        <f t="shared" si="87"/>
        <v>#N/A</v>
      </c>
      <c r="AS655" s="173" t="e">
        <f t="shared" si="88"/>
        <v>#N/A</v>
      </c>
    </row>
    <row r="656" spans="1:45" s="173" customFormat="1" ht="36" customHeight="1" x14ac:dyDescent="0.9">
      <c r="A656" s="173">
        <v>1</v>
      </c>
      <c r="B656" s="91">
        <f>SUBTOTAL(103,$A$546:A656)</f>
        <v>111</v>
      </c>
      <c r="C656" s="90" t="s">
        <v>611</v>
      </c>
      <c r="D656" s="185">
        <v>1972</v>
      </c>
      <c r="E656" s="185"/>
      <c r="F656" s="191" t="s">
        <v>273</v>
      </c>
      <c r="G656" s="185">
        <v>9</v>
      </c>
      <c r="H656" s="185">
        <v>1</v>
      </c>
      <c r="I656" s="186">
        <v>1896.4</v>
      </c>
      <c r="J656" s="186">
        <v>1896.4</v>
      </c>
      <c r="K656" s="186">
        <v>1859.1</v>
      </c>
      <c r="L656" s="187">
        <v>135</v>
      </c>
      <c r="M656" s="185" t="s">
        <v>271</v>
      </c>
      <c r="N656" s="185" t="s">
        <v>275</v>
      </c>
      <c r="O656" s="188" t="s">
        <v>1412</v>
      </c>
      <c r="P656" s="189">
        <v>100000</v>
      </c>
      <c r="Q656" s="189">
        <v>0</v>
      </c>
      <c r="R656" s="189">
        <v>0</v>
      </c>
      <c r="S656" s="189">
        <f t="shared" si="91"/>
        <v>100000</v>
      </c>
      <c r="T656" s="189">
        <f t="shared" si="93"/>
        <v>52.731491246572453</v>
      </c>
      <c r="U656" s="189">
        <f t="shared" si="92"/>
        <v>52.731491246572453</v>
      </c>
      <c r="V656" s="170">
        <f t="shared" si="89"/>
        <v>0</v>
      </c>
      <c r="W656" s="170"/>
      <c r="X656" s="170"/>
      <c r="Y656" s="173">
        <f t="shared" si="90"/>
        <v>1101.413203965408</v>
      </c>
      <c r="AA656" s="173">
        <f t="shared" ref="AA656:AA695" si="94">VLOOKUP(C656,AC:AE,2,FALSE)</f>
        <v>400</v>
      </c>
      <c r="AH656" s="173" t="e">
        <f t="shared" ref="AH656:AH695" si="95">VLOOKUP(C656,AJ:AK,2,FALSE)</f>
        <v>#N/A</v>
      </c>
      <c r="AS656" s="173" t="e">
        <f t="shared" ref="AS656:AS719" si="96">VLOOKUP(C656,AU:AV,2,FALSE)</f>
        <v>#N/A</v>
      </c>
    </row>
    <row r="657" spans="1:45" s="173" customFormat="1" ht="36" customHeight="1" x14ac:dyDescent="0.9">
      <c r="A657" s="173">
        <v>1</v>
      </c>
      <c r="B657" s="91">
        <f>SUBTOTAL(103,$A$546:A657)</f>
        <v>112</v>
      </c>
      <c r="C657" s="90" t="s">
        <v>612</v>
      </c>
      <c r="D657" s="185" t="s">
        <v>324</v>
      </c>
      <c r="E657" s="185"/>
      <c r="F657" s="191" t="s">
        <v>319</v>
      </c>
      <c r="G657" s="185" t="s">
        <v>360</v>
      </c>
      <c r="H657" s="185">
        <v>4</v>
      </c>
      <c r="I657" s="186">
        <v>3873.3</v>
      </c>
      <c r="J657" s="186">
        <v>3605.48</v>
      </c>
      <c r="K657" s="186">
        <v>3540.2</v>
      </c>
      <c r="L657" s="187">
        <v>165</v>
      </c>
      <c r="M657" s="185" t="s">
        <v>271</v>
      </c>
      <c r="N657" s="185" t="s">
        <v>275</v>
      </c>
      <c r="O657" s="188" t="s">
        <v>1100</v>
      </c>
      <c r="P657" s="189">
        <v>100000</v>
      </c>
      <c r="Q657" s="189">
        <v>0</v>
      </c>
      <c r="R657" s="189">
        <v>0</v>
      </c>
      <c r="S657" s="189">
        <f t="shared" si="91"/>
        <v>100000</v>
      </c>
      <c r="T657" s="189">
        <f t="shared" si="93"/>
        <v>25.817778122014818</v>
      </c>
      <c r="U657" s="189">
        <f t="shared" si="92"/>
        <v>25.817778122014818</v>
      </c>
      <c r="V657" s="170">
        <f t="shared" si="89"/>
        <v>0</v>
      </c>
      <c r="W657" s="170"/>
      <c r="X657" s="170"/>
      <c r="Y657" s="173">
        <f t="shared" si="90"/>
        <v>1294.226628456355</v>
      </c>
      <c r="AA657" s="173">
        <f t="shared" si="94"/>
        <v>960</v>
      </c>
      <c r="AH657" s="173" t="e">
        <f t="shared" si="95"/>
        <v>#N/A</v>
      </c>
      <c r="AS657" s="173" t="e">
        <f t="shared" si="96"/>
        <v>#N/A</v>
      </c>
    </row>
    <row r="658" spans="1:45" s="173" customFormat="1" ht="36" customHeight="1" x14ac:dyDescent="0.9">
      <c r="A658" s="173">
        <v>1</v>
      </c>
      <c r="B658" s="91">
        <f>SUBTOTAL(103,$A$546:A658)</f>
        <v>113</v>
      </c>
      <c r="C658" s="90" t="s">
        <v>613</v>
      </c>
      <c r="D658" s="185" t="s">
        <v>387</v>
      </c>
      <c r="E658" s="185"/>
      <c r="F658" s="191" t="s">
        <v>319</v>
      </c>
      <c r="G658" s="185" t="s">
        <v>360</v>
      </c>
      <c r="H658" s="185">
        <v>4</v>
      </c>
      <c r="I658" s="186">
        <v>3881.3</v>
      </c>
      <c r="J658" s="186">
        <v>3615.9</v>
      </c>
      <c r="K658" s="186">
        <v>3551.2</v>
      </c>
      <c r="L658" s="187">
        <v>182</v>
      </c>
      <c r="M658" s="185" t="s">
        <v>271</v>
      </c>
      <c r="N658" s="185" t="s">
        <v>275</v>
      </c>
      <c r="O658" s="188" t="s">
        <v>1100</v>
      </c>
      <c r="P658" s="189">
        <v>100000</v>
      </c>
      <c r="Q658" s="189">
        <v>0</v>
      </c>
      <c r="R658" s="189">
        <v>0</v>
      </c>
      <c r="S658" s="189">
        <f t="shared" si="91"/>
        <v>100000</v>
      </c>
      <c r="T658" s="189">
        <f t="shared" si="93"/>
        <v>25.764563419472857</v>
      </c>
      <c r="U658" s="189">
        <f t="shared" si="92"/>
        <v>25.764563419472857</v>
      </c>
      <c r="V658" s="170">
        <f t="shared" si="89"/>
        <v>0</v>
      </c>
      <c r="W658" s="170"/>
      <c r="X658" s="170"/>
      <c r="Y658" s="173">
        <f t="shared" si="90"/>
        <v>1291.5590137325123</v>
      </c>
      <c r="AA658" s="173">
        <f t="shared" si="94"/>
        <v>960</v>
      </c>
      <c r="AH658" s="173" t="e">
        <f t="shared" si="95"/>
        <v>#N/A</v>
      </c>
      <c r="AS658" s="173" t="e">
        <f t="shared" si="96"/>
        <v>#N/A</v>
      </c>
    </row>
    <row r="659" spans="1:45" s="173" customFormat="1" ht="36" customHeight="1" x14ac:dyDescent="0.9">
      <c r="A659" s="173">
        <v>1</v>
      </c>
      <c r="B659" s="91">
        <f>SUBTOTAL(103,$A$546:A659)</f>
        <v>114</v>
      </c>
      <c r="C659" s="90" t="s">
        <v>614</v>
      </c>
      <c r="D659" s="185" t="s">
        <v>359</v>
      </c>
      <c r="E659" s="185"/>
      <c r="F659" s="191" t="s">
        <v>273</v>
      </c>
      <c r="G659" s="185" t="s">
        <v>366</v>
      </c>
      <c r="H659" s="185">
        <v>1</v>
      </c>
      <c r="I659" s="186">
        <v>1835.8</v>
      </c>
      <c r="J659" s="186">
        <v>1835.8</v>
      </c>
      <c r="K659" s="186">
        <v>1783.4</v>
      </c>
      <c r="L659" s="187">
        <v>76</v>
      </c>
      <c r="M659" s="185" t="s">
        <v>271</v>
      </c>
      <c r="N659" s="185" t="s">
        <v>275</v>
      </c>
      <c r="O659" s="188" t="s">
        <v>1685</v>
      </c>
      <c r="P659" s="189">
        <v>100000</v>
      </c>
      <c r="Q659" s="189">
        <v>0</v>
      </c>
      <c r="R659" s="189">
        <v>0</v>
      </c>
      <c r="S659" s="189">
        <f t="shared" si="91"/>
        <v>100000</v>
      </c>
      <c r="T659" s="189">
        <f t="shared" si="93"/>
        <v>54.472164723826126</v>
      </c>
      <c r="U659" s="189">
        <f t="shared" si="92"/>
        <v>54.472164723826126</v>
      </c>
      <c r="V659" s="170">
        <f t="shared" ref="V659:V723" si="97">U659-T659</f>
        <v>0</v>
      </c>
      <c r="W659" s="170"/>
      <c r="X659" s="170"/>
      <c r="Y659" s="173">
        <f t="shared" ref="Y659:Y723" si="98">AA659*5221.8/I659</f>
        <v>1037.647151105785</v>
      </c>
      <c r="AA659" s="173">
        <f t="shared" si="94"/>
        <v>364.8</v>
      </c>
      <c r="AH659" s="173" t="e">
        <f t="shared" si="95"/>
        <v>#N/A</v>
      </c>
      <c r="AS659" s="173" t="e">
        <f t="shared" si="96"/>
        <v>#N/A</v>
      </c>
    </row>
    <row r="660" spans="1:45" s="173" customFormat="1" ht="36" customHeight="1" x14ac:dyDescent="0.9">
      <c r="A660" s="173">
        <v>1</v>
      </c>
      <c r="B660" s="91">
        <f>SUBTOTAL(103,$A$546:A660)</f>
        <v>115</v>
      </c>
      <c r="C660" s="90" t="s">
        <v>615</v>
      </c>
      <c r="D660" s="185" t="s">
        <v>388</v>
      </c>
      <c r="E660" s="185"/>
      <c r="F660" s="191" t="s">
        <v>319</v>
      </c>
      <c r="G660" s="185" t="s">
        <v>360</v>
      </c>
      <c r="H660" s="185">
        <v>4</v>
      </c>
      <c r="I660" s="186">
        <v>3888.9</v>
      </c>
      <c r="J660" s="186">
        <v>3557.1</v>
      </c>
      <c r="K660" s="186">
        <v>3511.4</v>
      </c>
      <c r="L660" s="187">
        <v>169</v>
      </c>
      <c r="M660" s="185" t="s">
        <v>271</v>
      </c>
      <c r="N660" s="185" t="s">
        <v>275</v>
      </c>
      <c r="O660" s="188" t="s">
        <v>1100</v>
      </c>
      <c r="P660" s="189">
        <v>100000</v>
      </c>
      <c r="Q660" s="189">
        <v>0</v>
      </c>
      <c r="R660" s="189">
        <v>0</v>
      </c>
      <c r="S660" s="189">
        <f t="shared" si="91"/>
        <v>100000</v>
      </c>
      <c r="T660" s="189">
        <f t="shared" si="93"/>
        <v>25.71421224510787</v>
      </c>
      <c r="U660" s="189">
        <f t="shared" si="92"/>
        <v>25.71421224510787</v>
      </c>
      <c r="V660" s="170">
        <f t="shared" si="97"/>
        <v>0</v>
      </c>
      <c r="W660" s="170"/>
      <c r="X660" s="170"/>
      <c r="Y660" s="173">
        <f t="shared" si="98"/>
        <v>1289.0349456144411</v>
      </c>
      <c r="AA660" s="173">
        <f t="shared" si="94"/>
        <v>960</v>
      </c>
      <c r="AH660" s="173" t="e">
        <f t="shared" si="95"/>
        <v>#N/A</v>
      </c>
      <c r="AS660" s="173" t="e">
        <f t="shared" si="96"/>
        <v>#N/A</v>
      </c>
    </row>
    <row r="661" spans="1:45" s="173" customFormat="1" ht="36" customHeight="1" x14ac:dyDescent="0.9">
      <c r="A661" s="173">
        <v>1</v>
      </c>
      <c r="B661" s="91">
        <f>SUBTOTAL(103,$A$546:A661)</f>
        <v>116</v>
      </c>
      <c r="C661" s="90" t="s">
        <v>617</v>
      </c>
      <c r="D661" s="185" t="s">
        <v>383</v>
      </c>
      <c r="E661" s="185"/>
      <c r="F661" s="191" t="s">
        <v>273</v>
      </c>
      <c r="G661" s="185" t="s">
        <v>360</v>
      </c>
      <c r="H661" s="185">
        <v>3</v>
      </c>
      <c r="I661" s="186">
        <v>2600.9</v>
      </c>
      <c r="J661" s="186">
        <v>2217.3000000000002</v>
      </c>
      <c r="K661" s="186">
        <v>2217.3000000000002</v>
      </c>
      <c r="L661" s="187">
        <v>72</v>
      </c>
      <c r="M661" s="185" t="s">
        <v>271</v>
      </c>
      <c r="N661" s="185" t="s">
        <v>275</v>
      </c>
      <c r="O661" s="188" t="s">
        <v>1410</v>
      </c>
      <c r="P661" s="189">
        <v>100000</v>
      </c>
      <c r="Q661" s="189">
        <v>0</v>
      </c>
      <c r="R661" s="189">
        <v>0</v>
      </c>
      <c r="S661" s="189">
        <f t="shared" si="91"/>
        <v>100000</v>
      </c>
      <c r="T661" s="189">
        <f t="shared" si="93"/>
        <v>38.448229459033413</v>
      </c>
      <c r="U661" s="189">
        <f t="shared" si="92"/>
        <v>38.448229459033413</v>
      </c>
      <c r="V661" s="170">
        <f t="shared" si="97"/>
        <v>0</v>
      </c>
      <c r="W661" s="170"/>
      <c r="X661" s="170"/>
      <c r="Y661" s="173">
        <f t="shared" si="98"/>
        <v>1345.1520627475104</v>
      </c>
      <c r="AA661" s="173">
        <f t="shared" si="94"/>
        <v>670</v>
      </c>
      <c r="AH661" s="173" t="e">
        <f t="shared" si="95"/>
        <v>#N/A</v>
      </c>
      <c r="AS661" s="173" t="e">
        <f t="shared" si="96"/>
        <v>#N/A</v>
      </c>
    </row>
    <row r="662" spans="1:45" s="173" customFormat="1" ht="36" customHeight="1" x14ac:dyDescent="0.9">
      <c r="A662" s="173">
        <v>1</v>
      </c>
      <c r="B662" s="91">
        <f>SUBTOTAL(103,$A$546:A662)</f>
        <v>117</v>
      </c>
      <c r="C662" s="90" t="s">
        <v>618</v>
      </c>
      <c r="D662" s="185" t="s">
        <v>378</v>
      </c>
      <c r="E662" s="185"/>
      <c r="F662" s="191" t="s">
        <v>273</v>
      </c>
      <c r="G662" s="185" t="s">
        <v>360</v>
      </c>
      <c r="H662" s="185">
        <v>1</v>
      </c>
      <c r="I662" s="186">
        <v>1129.8</v>
      </c>
      <c r="J662" s="186">
        <v>1033.3</v>
      </c>
      <c r="K662" s="186">
        <v>841.7</v>
      </c>
      <c r="L662" s="187">
        <v>41</v>
      </c>
      <c r="M662" s="185" t="s">
        <v>271</v>
      </c>
      <c r="N662" s="185" t="s">
        <v>275</v>
      </c>
      <c r="O662" s="188" t="s">
        <v>1424</v>
      </c>
      <c r="P662" s="189">
        <v>70000</v>
      </c>
      <c r="Q662" s="189">
        <v>0</v>
      </c>
      <c r="R662" s="189">
        <v>0</v>
      </c>
      <c r="S662" s="189">
        <f t="shared" si="91"/>
        <v>70000</v>
      </c>
      <c r="T662" s="189">
        <f t="shared" si="93"/>
        <v>61.957868649318463</v>
      </c>
      <c r="U662" s="189">
        <f t="shared" si="92"/>
        <v>61.957868649318463</v>
      </c>
      <c r="V662" s="170">
        <f t="shared" si="97"/>
        <v>0</v>
      </c>
      <c r="W662" s="170"/>
      <c r="X662" s="170"/>
      <c r="Y662" s="173">
        <f t="shared" si="98"/>
        <v>1086.141795007966</v>
      </c>
      <c r="AA662" s="173">
        <f t="shared" si="94"/>
        <v>235</v>
      </c>
      <c r="AH662" s="173" t="e">
        <f t="shared" si="95"/>
        <v>#N/A</v>
      </c>
      <c r="AS662" s="173" t="e">
        <f t="shared" si="96"/>
        <v>#N/A</v>
      </c>
    </row>
    <row r="663" spans="1:45" s="173" customFormat="1" ht="36" customHeight="1" x14ac:dyDescent="0.9">
      <c r="A663" s="173">
        <v>1</v>
      </c>
      <c r="B663" s="91">
        <f>SUBTOTAL(103,$A$546:A663)</f>
        <v>118</v>
      </c>
      <c r="C663" s="90" t="s">
        <v>619</v>
      </c>
      <c r="D663" s="185" t="s">
        <v>317</v>
      </c>
      <c r="E663" s="185"/>
      <c r="F663" s="191" t="s">
        <v>319</v>
      </c>
      <c r="G663" s="185" t="s">
        <v>360</v>
      </c>
      <c r="H663" s="185">
        <v>4</v>
      </c>
      <c r="I663" s="186">
        <v>4027.5</v>
      </c>
      <c r="J663" s="186">
        <v>3035.5</v>
      </c>
      <c r="K663" s="186">
        <v>3037.2</v>
      </c>
      <c r="L663" s="187">
        <v>135</v>
      </c>
      <c r="M663" s="185" t="s">
        <v>271</v>
      </c>
      <c r="N663" s="185" t="s">
        <v>275</v>
      </c>
      <c r="O663" s="188" t="s">
        <v>1349</v>
      </c>
      <c r="P663" s="189">
        <v>100000</v>
      </c>
      <c r="Q663" s="189">
        <v>0</v>
      </c>
      <c r="R663" s="189">
        <v>0</v>
      </c>
      <c r="S663" s="189">
        <f t="shared" si="91"/>
        <v>100000</v>
      </c>
      <c r="T663" s="189">
        <f t="shared" si="93"/>
        <v>24.829298572315331</v>
      </c>
      <c r="U663" s="189">
        <f t="shared" si="92"/>
        <v>24.829298572315331</v>
      </c>
      <c r="V663" s="170">
        <f t="shared" si="97"/>
        <v>0</v>
      </c>
      <c r="W663" s="170"/>
      <c r="X663" s="170"/>
      <c r="Y663" s="173">
        <f t="shared" si="98"/>
        <v>991.85027932960895</v>
      </c>
      <c r="AA663" s="173">
        <f t="shared" si="94"/>
        <v>765</v>
      </c>
      <c r="AH663" s="173" t="e">
        <f t="shared" si="95"/>
        <v>#N/A</v>
      </c>
      <c r="AS663" s="173" t="e">
        <f t="shared" si="96"/>
        <v>#N/A</v>
      </c>
    </row>
    <row r="664" spans="1:45" s="173" customFormat="1" ht="36" customHeight="1" x14ac:dyDescent="0.9">
      <c r="A664" s="173">
        <v>1</v>
      </c>
      <c r="B664" s="91">
        <f>SUBTOTAL(103,$A$546:A664)</f>
        <v>119</v>
      </c>
      <c r="C664" s="90" t="s">
        <v>620</v>
      </c>
      <c r="D664" s="185" t="s">
        <v>317</v>
      </c>
      <c r="E664" s="185"/>
      <c r="F664" s="191" t="s">
        <v>319</v>
      </c>
      <c r="G664" s="185" t="s">
        <v>360</v>
      </c>
      <c r="H664" s="185">
        <v>4</v>
      </c>
      <c r="I664" s="186">
        <v>4003.9</v>
      </c>
      <c r="J664" s="186">
        <v>30006.9</v>
      </c>
      <c r="K664" s="186">
        <v>2831.8</v>
      </c>
      <c r="L664" s="187">
        <v>130</v>
      </c>
      <c r="M664" s="185" t="s">
        <v>271</v>
      </c>
      <c r="N664" s="185" t="s">
        <v>275</v>
      </c>
      <c r="O664" s="188" t="s">
        <v>1349</v>
      </c>
      <c r="P664" s="189">
        <v>100000</v>
      </c>
      <c r="Q664" s="189">
        <v>0</v>
      </c>
      <c r="R664" s="189">
        <v>0</v>
      </c>
      <c r="S664" s="189">
        <f t="shared" si="91"/>
        <v>100000</v>
      </c>
      <c r="T664" s="189">
        <f t="shared" si="93"/>
        <v>24.975648742476086</v>
      </c>
      <c r="U664" s="189">
        <f t="shared" si="92"/>
        <v>24.975648742476086</v>
      </c>
      <c r="V664" s="170">
        <f t="shared" si="97"/>
        <v>0</v>
      </c>
      <c r="W664" s="170"/>
      <c r="X664" s="170"/>
      <c r="Y664" s="173">
        <f t="shared" si="98"/>
        <v>991.43643947151531</v>
      </c>
      <c r="AA664" s="173">
        <f t="shared" si="94"/>
        <v>760.2</v>
      </c>
      <c r="AH664" s="173" t="e">
        <f t="shared" si="95"/>
        <v>#N/A</v>
      </c>
      <c r="AS664" s="173" t="e">
        <f t="shared" si="96"/>
        <v>#N/A</v>
      </c>
    </row>
    <row r="665" spans="1:45" s="173" customFormat="1" ht="36" customHeight="1" x14ac:dyDescent="0.9">
      <c r="A665" s="173">
        <v>1</v>
      </c>
      <c r="B665" s="91">
        <f>SUBTOTAL(103,$A$546:A665)</f>
        <v>120</v>
      </c>
      <c r="C665" s="90" t="s">
        <v>1409</v>
      </c>
      <c r="D665" s="185">
        <v>1976</v>
      </c>
      <c r="E665" s="185"/>
      <c r="F665" s="191" t="s">
        <v>273</v>
      </c>
      <c r="G665" s="185">
        <v>5</v>
      </c>
      <c r="H665" s="185">
        <v>10</v>
      </c>
      <c r="I665" s="186">
        <v>8213.9</v>
      </c>
      <c r="J665" s="186">
        <v>7350.9</v>
      </c>
      <c r="K665" s="186">
        <v>6661.1</v>
      </c>
      <c r="L665" s="187">
        <v>418</v>
      </c>
      <c r="M665" s="185" t="s">
        <v>271</v>
      </c>
      <c r="N665" s="185" t="s">
        <v>275</v>
      </c>
      <c r="O665" s="188" t="s">
        <v>1426</v>
      </c>
      <c r="P665" s="189">
        <v>163844.70000000001</v>
      </c>
      <c r="Q665" s="189">
        <v>0</v>
      </c>
      <c r="R665" s="189">
        <v>0</v>
      </c>
      <c r="S665" s="189">
        <f t="shared" si="91"/>
        <v>163844.70000000001</v>
      </c>
      <c r="T665" s="189">
        <f t="shared" si="93"/>
        <v>19.947247957730191</v>
      </c>
      <c r="U665" s="189">
        <f t="shared" si="92"/>
        <v>19.947247957730191</v>
      </c>
      <c r="V665" s="170">
        <f t="shared" si="97"/>
        <v>0</v>
      </c>
      <c r="W665" s="170"/>
      <c r="X665" s="170"/>
      <c r="Y665" s="173">
        <f t="shared" si="98"/>
        <v>1471.0728399420495</v>
      </c>
      <c r="AA665" s="173">
        <f t="shared" si="94"/>
        <v>2314</v>
      </c>
      <c r="AH665" s="173" t="e">
        <f t="shared" si="95"/>
        <v>#N/A</v>
      </c>
      <c r="AS665" s="173" t="e">
        <f t="shared" si="96"/>
        <v>#N/A</v>
      </c>
    </row>
    <row r="666" spans="1:45" s="173" customFormat="1" ht="36" customHeight="1" x14ac:dyDescent="0.9">
      <c r="A666" s="173">
        <v>1</v>
      </c>
      <c r="B666" s="91">
        <f>SUBTOTAL(103,$A$546:A666)</f>
        <v>121</v>
      </c>
      <c r="C666" s="90" t="s">
        <v>1681</v>
      </c>
      <c r="D666" s="185">
        <v>1970</v>
      </c>
      <c r="E666" s="185"/>
      <c r="F666" s="191" t="s">
        <v>273</v>
      </c>
      <c r="G666" s="185">
        <v>5</v>
      </c>
      <c r="H666" s="185">
        <v>6</v>
      </c>
      <c r="I666" s="186">
        <v>4831</v>
      </c>
      <c r="J666" s="186">
        <v>4434.8999999999996</v>
      </c>
      <c r="K666" s="186">
        <v>4190</v>
      </c>
      <c r="L666" s="187">
        <v>250</v>
      </c>
      <c r="M666" s="185" t="s">
        <v>271</v>
      </c>
      <c r="N666" s="185" t="s">
        <v>275</v>
      </c>
      <c r="O666" s="188" t="s">
        <v>1116</v>
      </c>
      <c r="P666" s="189">
        <v>150000</v>
      </c>
      <c r="Q666" s="189">
        <v>0</v>
      </c>
      <c r="R666" s="189">
        <v>0</v>
      </c>
      <c r="S666" s="189">
        <f t="shared" si="91"/>
        <v>150000</v>
      </c>
      <c r="T666" s="189">
        <f t="shared" si="93"/>
        <v>31.049472158973298</v>
      </c>
      <c r="U666" s="189">
        <f t="shared" si="92"/>
        <v>31.049472158973298</v>
      </c>
      <c r="V666" s="170">
        <f t="shared" si="97"/>
        <v>0</v>
      </c>
      <c r="W666" s="170"/>
      <c r="X666" s="170"/>
      <c r="Y666" s="173">
        <f t="shared" si="98"/>
        <v>1292.7494928586214</v>
      </c>
      <c r="AA666" s="173">
        <f t="shared" si="94"/>
        <v>1196</v>
      </c>
      <c r="AH666" s="173" t="e">
        <f t="shared" si="95"/>
        <v>#N/A</v>
      </c>
      <c r="AS666" s="173" t="e">
        <f t="shared" si="96"/>
        <v>#N/A</v>
      </c>
    </row>
    <row r="667" spans="1:45" s="173" customFormat="1" ht="36" customHeight="1" x14ac:dyDescent="0.9">
      <c r="A667" s="173">
        <v>1</v>
      </c>
      <c r="B667" s="91">
        <f>SUBTOTAL(103,$A$546:A667)</f>
        <v>122</v>
      </c>
      <c r="C667" s="90" t="s">
        <v>1682</v>
      </c>
      <c r="D667" s="185">
        <v>1988</v>
      </c>
      <c r="E667" s="185"/>
      <c r="F667" s="191" t="s">
        <v>319</v>
      </c>
      <c r="G667" s="185">
        <v>5</v>
      </c>
      <c r="H667" s="185">
        <v>3</v>
      </c>
      <c r="I667" s="186">
        <v>2616.5</v>
      </c>
      <c r="J667" s="186">
        <v>2318.1999999999998</v>
      </c>
      <c r="K667" s="186">
        <v>2212.9</v>
      </c>
      <c r="L667" s="187">
        <v>110</v>
      </c>
      <c r="M667" s="185" t="s">
        <v>271</v>
      </c>
      <c r="N667" s="185" t="s">
        <v>275</v>
      </c>
      <c r="O667" s="188" t="s">
        <v>1116</v>
      </c>
      <c r="P667" s="189">
        <v>100000</v>
      </c>
      <c r="Q667" s="189">
        <v>0</v>
      </c>
      <c r="R667" s="189">
        <v>0</v>
      </c>
      <c r="S667" s="189">
        <f t="shared" si="91"/>
        <v>100000</v>
      </c>
      <c r="T667" s="189">
        <f t="shared" si="93"/>
        <v>38.218994840435698</v>
      </c>
      <c r="U667" s="189">
        <f t="shared" si="92"/>
        <v>38.218994840435698</v>
      </c>
      <c r="V667" s="170">
        <f t="shared" si="97"/>
        <v>0</v>
      </c>
      <c r="W667" s="170"/>
      <c r="X667" s="170"/>
      <c r="Y667" s="173">
        <f t="shared" si="98"/>
        <v>1171.4873304032105</v>
      </c>
      <c r="AA667" s="173">
        <f t="shared" si="94"/>
        <v>587</v>
      </c>
      <c r="AH667" s="173" t="e">
        <f t="shared" si="95"/>
        <v>#N/A</v>
      </c>
      <c r="AS667" s="173" t="e">
        <f t="shared" si="96"/>
        <v>#N/A</v>
      </c>
    </row>
    <row r="668" spans="1:45" s="173" customFormat="1" ht="36" customHeight="1" x14ac:dyDescent="0.9">
      <c r="A668" s="173">
        <v>1</v>
      </c>
      <c r="B668" s="91">
        <f>SUBTOTAL(103,$A$546:A668)</f>
        <v>123</v>
      </c>
      <c r="C668" s="90" t="s">
        <v>622</v>
      </c>
      <c r="D668" s="185" t="s">
        <v>331</v>
      </c>
      <c r="E668" s="185"/>
      <c r="F668" s="191" t="s">
        <v>319</v>
      </c>
      <c r="G668" s="185" t="s">
        <v>360</v>
      </c>
      <c r="H668" s="185">
        <v>4</v>
      </c>
      <c r="I668" s="186">
        <v>4258.1000000000004</v>
      </c>
      <c r="J668" s="186">
        <v>3136.3</v>
      </c>
      <c r="K668" s="186">
        <v>1795.5</v>
      </c>
      <c r="L668" s="187">
        <v>159</v>
      </c>
      <c r="M668" s="185" t="s">
        <v>271</v>
      </c>
      <c r="N668" s="185" t="s">
        <v>275</v>
      </c>
      <c r="O668" s="188" t="s">
        <v>1102</v>
      </c>
      <c r="P668" s="189">
        <v>100000</v>
      </c>
      <c r="Q668" s="189">
        <v>0</v>
      </c>
      <c r="R668" s="189">
        <v>0</v>
      </c>
      <c r="S668" s="189">
        <f t="shared" si="91"/>
        <v>100000</v>
      </c>
      <c r="T668" s="189">
        <f t="shared" si="93"/>
        <v>23.484652779408655</v>
      </c>
      <c r="U668" s="189">
        <f t="shared" si="92"/>
        <v>23.484652779408655</v>
      </c>
      <c r="V668" s="170">
        <f t="shared" si="97"/>
        <v>0</v>
      </c>
      <c r="W668" s="170"/>
      <c r="X668" s="170"/>
      <c r="Y668" s="173">
        <f t="shared" si="98"/>
        <v>1167.4581620910735</v>
      </c>
      <c r="AA668" s="173">
        <f t="shared" si="94"/>
        <v>952</v>
      </c>
      <c r="AH668" s="173" t="e">
        <f t="shared" si="95"/>
        <v>#N/A</v>
      </c>
      <c r="AS668" s="173" t="e">
        <f t="shared" si="96"/>
        <v>#N/A</v>
      </c>
    </row>
    <row r="669" spans="1:45" s="173" customFormat="1" ht="36" customHeight="1" x14ac:dyDescent="0.9">
      <c r="A669" s="173">
        <v>1</v>
      </c>
      <c r="B669" s="91">
        <f>SUBTOTAL(103,$A$546:A669)</f>
        <v>124</v>
      </c>
      <c r="C669" s="90" t="s">
        <v>1664</v>
      </c>
      <c r="D669" s="185">
        <v>1957</v>
      </c>
      <c r="E669" s="185"/>
      <c r="F669" s="191" t="s">
        <v>273</v>
      </c>
      <c r="G669" s="185">
        <v>3</v>
      </c>
      <c r="H669" s="185">
        <v>3</v>
      </c>
      <c r="I669" s="186">
        <v>1920.4</v>
      </c>
      <c r="J669" s="186">
        <v>1467.6</v>
      </c>
      <c r="K669" s="186">
        <v>1467.6</v>
      </c>
      <c r="L669" s="187">
        <v>62</v>
      </c>
      <c r="M669" s="185" t="s">
        <v>271</v>
      </c>
      <c r="N669" s="185" t="s">
        <v>275</v>
      </c>
      <c r="O669" s="188" t="s">
        <v>1637</v>
      </c>
      <c r="P669" s="189">
        <v>100000</v>
      </c>
      <c r="Q669" s="189">
        <v>0</v>
      </c>
      <c r="R669" s="189">
        <v>0</v>
      </c>
      <c r="S669" s="189">
        <f t="shared" si="91"/>
        <v>100000</v>
      </c>
      <c r="T669" s="189">
        <f t="shared" si="93"/>
        <v>52.072484898979376</v>
      </c>
      <c r="U669" s="189">
        <f t="shared" si="92"/>
        <v>52.072484898979376</v>
      </c>
      <c r="V669" s="170">
        <f t="shared" si="97"/>
        <v>0</v>
      </c>
      <c r="W669" s="170"/>
      <c r="X669" s="170"/>
      <c r="Y669" s="173">
        <f t="shared" si="98"/>
        <v>4423.4660695688399</v>
      </c>
      <c r="AA669" s="173">
        <f t="shared" si="94"/>
        <v>1626.8</v>
      </c>
      <c r="AH669" s="173" t="e">
        <f t="shared" si="95"/>
        <v>#N/A</v>
      </c>
      <c r="AS669" s="173" t="e">
        <f t="shared" si="96"/>
        <v>#N/A</v>
      </c>
    </row>
    <row r="670" spans="1:45" s="173" customFormat="1" ht="36" customHeight="1" x14ac:dyDescent="0.9">
      <c r="A670" s="173">
        <v>1</v>
      </c>
      <c r="B670" s="91">
        <f>SUBTOTAL(103,$A$546:A670)</f>
        <v>125</v>
      </c>
      <c r="C670" s="90" t="s">
        <v>623</v>
      </c>
      <c r="D670" s="185">
        <v>1981</v>
      </c>
      <c r="E670" s="185"/>
      <c r="F670" s="191" t="s">
        <v>273</v>
      </c>
      <c r="G670" s="185">
        <v>2</v>
      </c>
      <c r="H670" s="185">
        <v>3</v>
      </c>
      <c r="I670" s="186">
        <v>940.2</v>
      </c>
      <c r="J670" s="186">
        <v>850.3</v>
      </c>
      <c r="K670" s="186">
        <v>850.3</v>
      </c>
      <c r="L670" s="187">
        <v>29</v>
      </c>
      <c r="M670" s="185" t="s">
        <v>271</v>
      </c>
      <c r="N670" s="185" t="s">
        <v>275</v>
      </c>
      <c r="O670" s="188" t="s">
        <v>1683</v>
      </c>
      <c r="P670" s="189">
        <v>100000</v>
      </c>
      <c r="Q670" s="189">
        <v>0</v>
      </c>
      <c r="R670" s="189">
        <v>0</v>
      </c>
      <c r="S670" s="189">
        <f t="shared" si="91"/>
        <v>100000</v>
      </c>
      <c r="T670" s="189">
        <f t="shared" si="93"/>
        <v>106.36034886194426</v>
      </c>
      <c r="U670" s="189">
        <f t="shared" si="92"/>
        <v>106.36034886194426</v>
      </c>
      <c r="V670" s="170">
        <f t="shared" si="97"/>
        <v>0</v>
      </c>
      <c r="W670" s="170"/>
      <c r="X670" s="170"/>
      <c r="Y670" s="173">
        <f t="shared" si="98"/>
        <v>4482.0727696234844</v>
      </c>
      <c r="AA670" s="173">
        <f t="shared" si="94"/>
        <v>807.01</v>
      </c>
      <c r="AH670" s="173" t="e">
        <f t="shared" si="95"/>
        <v>#N/A</v>
      </c>
      <c r="AS670" s="173" t="e">
        <f t="shared" si="96"/>
        <v>#N/A</v>
      </c>
    </row>
    <row r="671" spans="1:45" s="173" customFormat="1" ht="36" customHeight="1" x14ac:dyDescent="0.9">
      <c r="A671" s="173">
        <v>1</v>
      </c>
      <c r="B671" s="91">
        <f>SUBTOTAL(103,$A$546:A671)</f>
        <v>126</v>
      </c>
      <c r="C671" s="90" t="s">
        <v>624</v>
      </c>
      <c r="D671" s="185">
        <v>1994</v>
      </c>
      <c r="E671" s="185"/>
      <c r="F671" s="191" t="s">
        <v>273</v>
      </c>
      <c r="G671" s="185">
        <v>3</v>
      </c>
      <c r="H671" s="185">
        <v>2</v>
      </c>
      <c r="I671" s="186">
        <v>1481.9</v>
      </c>
      <c r="J671" s="186">
        <v>1353.2</v>
      </c>
      <c r="K671" s="186">
        <v>1353.2</v>
      </c>
      <c r="L671" s="187">
        <v>72</v>
      </c>
      <c r="M671" s="185" t="s">
        <v>271</v>
      </c>
      <c r="N671" s="185" t="s">
        <v>275</v>
      </c>
      <c r="O671" s="188" t="s">
        <v>1683</v>
      </c>
      <c r="P671" s="189">
        <v>100000</v>
      </c>
      <c r="Q671" s="189">
        <v>0</v>
      </c>
      <c r="R671" s="189">
        <v>0</v>
      </c>
      <c r="S671" s="189">
        <f t="shared" si="91"/>
        <v>100000</v>
      </c>
      <c r="T671" s="189">
        <f t="shared" si="93"/>
        <v>67.480936635400496</v>
      </c>
      <c r="U671" s="189">
        <f t="shared" si="92"/>
        <v>67.480936635400496</v>
      </c>
      <c r="V671" s="170">
        <f t="shared" si="97"/>
        <v>0</v>
      </c>
      <c r="W671" s="170"/>
      <c r="X671" s="170"/>
      <c r="Y671" s="173">
        <f t="shared" si="98"/>
        <v>3435.6265604966593</v>
      </c>
      <c r="AA671" s="173">
        <f t="shared" si="94"/>
        <v>975</v>
      </c>
      <c r="AH671" s="173" t="e">
        <f t="shared" si="95"/>
        <v>#N/A</v>
      </c>
      <c r="AS671" s="173" t="e">
        <f t="shared" si="96"/>
        <v>#N/A</v>
      </c>
    </row>
    <row r="672" spans="1:45" s="173" customFormat="1" ht="36" customHeight="1" x14ac:dyDescent="0.9">
      <c r="A672" s="173">
        <v>1</v>
      </c>
      <c r="B672" s="91">
        <f>SUBTOTAL(103,$A$546:A672)</f>
        <v>127</v>
      </c>
      <c r="C672" s="90" t="s">
        <v>625</v>
      </c>
      <c r="D672" s="185" t="s">
        <v>359</v>
      </c>
      <c r="E672" s="185"/>
      <c r="F672" s="191" t="s">
        <v>319</v>
      </c>
      <c r="G672" s="185" t="s">
        <v>360</v>
      </c>
      <c r="H672" s="185">
        <v>4</v>
      </c>
      <c r="I672" s="186">
        <v>4064.4</v>
      </c>
      <c r="J672" s="186">
        <v>3058.6</v>
      </c>
      <c r="K672" s="186">
        <v>2912</v>
      </c>
      <c r="L672" s="187">
        <v>130</v>
      </c>
      <c r="M672" s="185" t="s">
        <v>271</v>
      </c>
      <c r="N672" s="185" t="s">
        <v>275</v>
      </c>
      <c r="O672" s="188" t="s">
        <v>1349</v>
      </c>
      <c r="P672" s="189">
        <v>100000</v>
      </c>
      <c r="Q672" s="189">
        <v>0</v>
      </c>
      <c r="R672" s="189">
        <v>0</v>
      </c>
      <c r="S672" s="189">
        <f t="shared" si="91"/>
        <v>100000</v>
      </c>
      <c r="T672" s="189">
        <f t="shared" si="93"/>
        <v>24.603877571105205</v>
      </c>
      <c r="U672" s="189">
        <f t="shared" si="92"/>
        <v>24.603877571105205</v>
      </c>
      <c r="V672" s="170">
        <f t="shared" si="97"/>
        <v>0</v>
      </c>
      <c r="W672" s="170"/>
      <c r="X672" s="170"/>
      <c r="Y672" s="173">
        <f t="shared" si="98"/>
        <v>990.87522143489809</v>
      </c>
      <c r="AA672" s="173">
        <f t="shared" si="94"/>
        <v>771.25</v>
      </c>
      <c r="AH672" s="173" t="e">
        <f t="shared" si="95"/>
        <v>#N/A</v>
      </c>
      <c r="AS672" s="173" t="e">
        <f t="shared" si="96"/>
        <v>#N/A</v>
      </c>
    </row>
    <row r="673" spans="1:45" s="173" customFormat="1" ht="36" customHeight="1" x14ac:dyDescent="0.9">
      <c r="A673" s="173">
        <v>1</v>
      </c>
      <c r="B673" s="91">
        <f>SUBTOTAL(103,$A$546:A673)</f>
        <v>128</v>
      </c>
      <c r="C673" s="90" t="s">
        <v>626</v>
      </c>
      <c r="D673" s="185" t="s">
        <v>379</v>
      </c>
      <c r="E673" s="185"/>
      <c r="F673" s="191" t="s">
        <v>319</v>
      </c>
      <c r="G673" s="185" t="s">
        <v>360</v>
      </c>
      <c r="H673" s="185">
        <v>5</v>
      </c>
      <c r="I673" s="186">
        <v>5067.1000000000004</v>
      </c>
      <c r="J673" s="186">
        <v>3815.6</v>
      </c>
      <c r="K673" s="186">
        <v>3768.9</v>
      </c>
      <c r="L673" s="187">
        <v>158</v>
      </c>
      <c r="M673" s="185" t="s">
        <v>271</v>
      </c>
      <c r="N673" s="185" t="s">
        <v>275</v>
      </c>
      <c r="O673" s="188" t="s">
        <v>1349</v>
      </c>
      <c r="P673" s="189">
        <v>100000</v>
      </c>
      <c r="Q673" s="189">
        <v>0</v>
      </c>
      <c r="R673" s="189">
        <v>0</v>
      </c>
      <c r="S673" s="189">
        <f t="shared" si="91"/>
        <v>100000</v>
      </c>
      <c r="T673" s="189">
        <f t="shared" si="93"/>
        <v>19.735154230230307</v>
      </c>
      <c r="U673" s="189">
        <f t="shared" si="92"/>
        <v>19.735154230230307</v>
      </c>
      <c r="V673" s="170">
        <f t="shared" si="97"/>
        <v>0</v>
      </c>
      <c r="W673" s="170"/>
      <c r="X673" s="170"/>
      <c r="Y673" s="173">
        <f t="shared" si="98"/>
        <v>993.17356081387766</v>
      </c>
      <c r="AA673" s="173">
        <f t="shared" si="94"/>
        <v>963.75</v>
      </c>
      <c r="AH673" s="173" t="e">
        <f t="shared" si="95"/>
        <v>#N/A</v>
      </c>
      <c r="AS673" s="173" t="e">
        <f t="shared" si="96"/>
        <v>#N/A</v>
      </c>
    </row>
    <row r="674" spans="1:45" s="173" customFormat="1" ht="36" customHeight="1" x14ac:dyDescent="0.9">
      <c r="A674" s="173">
        <v>1</v>
      </c>
      <c r="B674" s="91">
        <f>SUBTOTAL(103,$A$546:A674)</f>
        <v>129</v>
      </c>
      <c r="C674" s="90" t="s">
        <v>507</v>
      </c>
      <c r="D674" s="185">
        <v>1995</v>
      </c>
      <c r="E674" s="185"/>
      <c r="F674" s="191" t="s">
        <v>273</v>
      </c>
      <c r="G674" s="185">
        <v>9</v>
      </c>
      <c r="H674" s="185">
        <v>1</v>
      </c>
      <c r="I674" s="186">
        <v>6176.6</v>
      </c>
      <c r="J674" s="186">
        <v>4705.1000000000004</v>
      </c>
      <c r="K674" s="186">
        <v>4301.8999999999996</v>
      </c>
      <c r="L674" s="187">
        <v>360</v>
      </c>
      <c r="M674" s="185" t="s">
        <v>271</v>
      </c>
      <c r="N674" s="185" t="s">
        <v>275</v>
      </c>
      <c r="O674" s="188" t="s">
        <v>1100</v>
      </c>
      <c r="P674" s="189">
        <v>80000</v>
      </c>
      <c r="Q674" s="189">
        <v>0</v>
      </c>
      <c r="R674" s="189">
        <v>0</v>
      </c>
      <c r="S674" s="189">
        <f t="shared" ref="S674:S677" si="99">P674-Q674-R674</f>
        <v>80000</v>
      </c>
      <c r="T674" s="189">
        <f t="shared" si="93"/>
        <v>12.952109574847002</v>
      </c>
      <c r="U674" s="189">
        <f t="shared" si="92"/>
        <v>12.952109574847002</v>
      </c>
      <c r="V674" s="170">
        <f t="shared" si="97"/>
        <v>0</v>
      </c>
      <c r="W674" s="170"/>
      <c r="X674" s="170"/>
      <c r="Y674" s="173">
        <f t="shared" si="98"/>
        <v>862.32490366868501</v>
      </c>
      <c r="AA674" s="173">
        <f t="shared" si="94"/>
        <v>1020</v>
      </c>
      <c r="AH674" s="173" t="e">
        <f t="shared" si="95"/>
        <v>#N/A</v>
      </c>
      <c r="AR674" s="173">
        <f>AS674*2207413/I674</f>
        <v>357.38318816177184</v>
      </c>
      <c r="AS674" s="173">
        <f t="shared" si="96"/>
        <v>1</v>
      </c>
    </row>
    <row r="675" spans="1:45" s="173" customFormat="1" ht="36" customHeight="1" x14ac:dyDescent="0.9">
      <c r="A675" s="173">
        <v>1</v>
      </c>
      <c r="B675" s="91">
        <f>SUBTOTAL(103,$A$546:A675)</f>
        <v>130</v>
      </c>
      <c r="C675" s="90" t="s">
        <v>1095</v>
      </c>
      <c r="D675" s="185">
        <v>1990</v>
      </c>
      <c r="E675" s="185"/>
      <c r="F675" s="191" t="s">
        <v>273</v>
      </c>
      <c r="G675" s="185">
        <v>9</v>
      </c>
      <c r="H675" s="185">
        <v>4</v>
      </c>
      <c r="I675" s="186">
        <v>11085.8</v>
      </c>
      <c r="J675" s="186">
        <v>9319.2999999999993</v>
      </c>
      <c r="K675" s="186">
        <v>5667.8</v>
      </c>
      <c r="L675" s="187">
        <v>446</v>
      </c>
      <c r="M675" s="185" t="s">
        <v>271</v>
      </c>
      <c r="N675" s="185" t="s">
        <v>275</v>
      </c>
      <c r="O675" s="188" t="s">
        <v>1102</v>
      </c>
      <c r="P675" s="189">
        <v>100000</v>
      </c>
      <c r="Q675" s="189">
        <v>0</v>
      </c>
      <c r="R675" s="189">
        <v>0</v>
      </c>
      <c r="S675" s="189">
        <f t="shared" si="99"/>
        <v>100000</v>
      </c>
      <c r="T675" s="189">
        <f t="shared" si="93"/>
        <v>9.020548810189613</v>
      </c>
      <c r="U675" s="189">
        <f t="shared" si="92"/>
        <v>9.020548810189613</v>
      </c>
      <c r="V675" s="170">
        <f t="shared" si="97"/>
        <v>0</v>
      </c>
      <c r="W675" s="170"/>
      <c r="X675" s="170"/>
      <c r="Y675" s="173" t="e">
        <f t="shared" si="98"/>
        <v>#N/A</v>
      </c>
      <c r="AA675" s="173" t="e">
        <f t="shared" si="94"/>
        <v>#N/A</v>
      </c>
      <c r="AH675" s="173" t="e">
        <f t="shared" si="95"/>
        <v>#N/A</v>
      </c>
      <c r="AR675" s="173">
        <f>AS675*2207413/I675</f>
        <v>597.36230132241246</v>
      </c>
      <c r="AS675" s="173">
        <f t="shared" si="96"/>
        <v>3</v>
      </c>
    </row>
    <row r="676" spans="1:45" s="173" customFormat="1" ht="36" customHeight="1" x14ac:dyDescent="0.9">
      <c r="A676" s="173">
        <v>1</v>
      </c>
      <c r="B676" s="91">
        <f>SUBTOTAL(103,$A$546:A676)</f>
        <v>131</v>
      </c>
      <c r="C676" s="90" t="s">
        <v>1734</v>
      </c>
      <c r="D676" s="185">
        <v>1969</v>
      </c>
      <c r="E676" s="185"/>
      <c r="F676" s="191" t="s">
        <v>273</v>
      </c>
      <c r="G676" s="185">
        <v>5</v>
      </c>
      <c r="H676" s="185">
        <v>4</v>
      </c>
      <c r="I676" s="186">
        <v>3872</v>
      </c>
      <c r="J676" s="186">
        <v>3567.4</v>
      </c>
      <c r="K676" s="186">
        <v>3567.4</v>
      </c>
      <c r="L676" s="187">
        <v>111</v>
      </c>
      <c r="M676" s="185" t="s">
        <v>271</v>
      </c>
      <c r="N676" s="185" t="s">
        <v>275</v>
      </c>
      <c r="O676" s="188" t="s">
        <v>1740</v>
      </c>
      <c r="P676" s="189">
        <v>101500</v>
      </c>
      <c r="Q676" s="189">
        <v>0</v>
      </c>
      <c r="R676" s="189">
        <v>0</v>
      </c>
      <c r="S676" s="189">
        <f t="shared" si="99"/>
        <v>101500</v>
      </c>
      <c r="T676" s="189">
        <f t="shared" si="93"/>
        <v>26.21384297520661</v>
      </c>
      <c r="U676" s="189">
        <f t="shared" si="92"/>
        <v>26.21384297520661</v>
      </c>
      <c r="V676" s="170">
        <f t="shared" si="97"/>
        <v>0</v>
      </c>
      <c r="W676" s="170"/>
      <c r="X676" s="170"/>
      <c r="Y676" s="173" t="e">
        <f t="shared" si="98"/>
        <v>#N/A</v>
      </c>
      <c r="AA676" s="173" t="e">
        <f t="shared" si="94"/>
        <v>#N/A</v>
      </c>
      <c r="AH676" s="173" t="e">
        <f t="shared" si="95"/>
        <v>#N/A</v>
      </c>
      <c r="AR676" s="173" t="e">
        <f>AS676*2207413/I676</f>
        <v>#N/A</v>
      </c>
      <c r="AS676" s="173" t="e">
        <f t="shared" si="96"/>
        <v>#N/A</v>
      </c>
    </row>
    <row r="677" spans="1:45" s="173" customFormat="1" ht="36" customHeight="1" x14ac:dyDescent="0.9">
      <c r="A677" s="173">
        <v>1</v>
      </c>
      <c r="B677" s="91">
        <f>SUBTOTAL(103,$A$546:A677)</f>
        <v>132</v>
      </c>
      <c r="C677" s="90" t="s">
        <v>1735</v>
      </c>
      <c r="D677" s="185">
        <v>1967</v>
      </c>
      <c r="E677" s="185"/>
      <c r="F677" s="191" t="s">
        <v>326</v>
      </c>
      <c r="G677" s="185">
        <v>5</v>
      </c>
      <c r="H677" s="185">
        <v>5</v>
      </c>
      <c r="I677" s="186">
        <v>4508.5</v>
      </c>
      <c r="J677" s="186">
        <v>4509.3</v>
      </c>
      <c r="K677" s="186">
        <v>4452.8</v>
      </c>
      <c r="L677" s="187">
        <v>231</v>
      </c>
      <c r="M677" s="185" t="s">
        <v>271</v>
      </c>
      <c r="N677" s="185" t="s">
        <v>275</v>
      </c>
      <c r="O677" s="188" t="s">
        <v>1741</v>
      </c>
      <c r="P677" s="189">
        <v>100000</v>
      </c>
      <c r="Q677" s="189">
        <v>0</v>
      </c>
      <c r="R677" s="189">
        <v>0</v>
      </c>
      <c r="S677" s="189">
        <f t="shared" si="99"/>
        <v>100000</v>
      </c>
      <c r="T677" s="189">
        <f t="shared" si="93"/>
        <v>22.180326050792946</v>
      </c>
      <c r="U677" s="189">
        <f t="shared" si="92"/>
        <v>22.180326050792946</v>
      </c>
      <c r="V677" s="170">
        <f t="shared" si="97"/>
        <v>0</v>
      </c>
      <c r="W677" s="170"/>
      <c r="X677" s="170"/>
      <c r="Y677" s="173" t="e">
        <f t="shared" si="98"/>
        <v>#N/A</v>
      </c>
      <c r="AA677" s="173" t="e">
        <f t="shared" si="94"/>
        <v>#N/A</v>
      </c>
      <c r="AH677" s="173" t="e">
        <f t="shared" si="95"/>
        <v>#N/A</v>
      </c>
      <c r="AR677" s="173" t="e">
        <f>AS677*2207413/I677</f>
        <v>#N/A</v>
      </c>
      <c r="AS677" s="173" t="e">
        <f t="shared" si="96"/>
        <v>#N/A</v>
      </c>
    </row>
    <row r="678" spans="1:45" s="173" customFormat="1" ht="36" customHeight="1" x14ac:dyDescent="0.9">
      <c r="B678" s="90" t="s">
        <v>781</v>
      </c>
      <c r="C678" s="192"/>
      <c r="D678" s="185" t="s">
        <v>915</v>
      </c>
      <c r="E678" s="185" t="s">
        <v>915</v>
      </c>
      <c r="F678" s="185" t="s">
        <v>915</v>
      </c>
      <c r="G678" s="185" t="s">
        <v>915</v>
      </c>
      <c r="H678" s="185" t="s">
        <v>915</v>
      </c>
      <c r="I678" s="186">
        <f>SUM(I679:I696)</f>
        <v>20657.699999999997</v>
      </c>
      <c r="J678" s="186">
        <f>SUM(J679:J696)</f>
        <v>19082.600000000002</v>
      </c>
      <c r="K678" s="186">
        <f>SUM(K679:K696)</f>
        <v>16939.000000000004</v>
      </c>
      <c r="L678" s="187">
        <f>SUM(L679:L696)</f>
        <v>862</v>
      </c>
      <c r="M678" s="185" t="s">
        <v>915</v>
      </c>
      <c r="N678" s="185" t="s">
        <v>915</v>
      </c>
      <c r="O678" s="188" t="s">
        <v>915</v>
      </c>
      <c r="P678" s="186">
        <v>61321206.579999998</v>
      </c>
      <c r="Q678" s="186">
        <f>SUM(Q679:Q696)</f>
        <v>0</v>
      </c>
      <c r="R678" s="186">
        <f>SUM(R679:R696)</f>
        <v>0</v>
      </c>
      <c r="S678" s="186">
        <f>SUM(S679:S696)</f>
        <v>61321206.579999998</v>
      </c>
      <c r="T678" s="189">
        <f t="shared" si="93"/>
        <v>2968.4430783678727</v>
      </c>
      <c r="U678" s="189">
        <f>MAX(U679:U691)</f>
        <v>7040.5797833935012</v>
      </c>
      <c r="V678" s="170">
        <f t="shared" si="97"/>
        <v>4072.1367050256285</v>
      </c>
      <c r="W678" s="170"/>
      <c r="X678" s="170"/>
      <c r="Y678" s="173" t="e">
        <f t="shared" si="98"/>
        <v>#N/A</v>
      </c>
      <c r="AA678" s="173" t="e">
        <f t="shared" si="94"/>
        <v>#N/A</v>
      </c>
      <c r="AH678" s="173" t="e">
        <f t="shared" si="95"/>
        <v>#N/A</v>
      </c>
      <c r="AS678" s="173" t="e">
        <f t="shared" si="96"/>
        <v>#N/A</v>
      </c>
    </row>
    <row r="679" spans="1:45" s="173" customFormat="1" ht="36" customHeight="1" x14ac:dyDescent="0.9">
      <c r="A679" s="173">
        <v>1</v>
      </c>
      <c r="B679" s="91">
        <f>SUBTOTAL(103,$A$546:A679)</f>
        <v>133</v>
      </c>
      <c r="C679" s="90" t="s">
        <v>466</v>
      </c>
      <c r="D679" s="185">
        <v>1960</v>
      </c>
      <c r="E679" s="185"/>
      <c r="F679" s="191" t="s">
        <v>273</v>
      </c>
      <c r="G679" s="185">
        <v>2</v>
      </c>
      <c r="H679" s="185">
        <v>2</v>
      </c>
      <c r="I679" s="186">
        <v>683.2</v>
      </c>
      <c r="J679" s="186">
        <v>634.6</v>
      </c>
      <c r="K679" s="186">
        <v>388.3</v>
      </c>
      <c r="L679" s="187">
        <v>26</v>
      </c>
      <c r="M679" s="185" t="s">
        <v>271</v>
      </c>
      <c r="N679" s="185" t="s">
        <v>272</v>
      </c>
      <c r="O679" s="188" t="s">
        <v>274</v>
      </c>
      <c r="P679" s="189">
        <v>3616357.54</v>
      </c>
      <c r="Q679" s="189">
        <v>0</v>
      </c>
      <c r="R679" s="189">
        <v>0</v>
      </c>
      <c r="S679" s="189">
        <f t="shared" ref="S679:S694" si="100">P679-Q679-R679</f>
        <v>3616357.54</v>
      </c>
      <c r="T679" s="189">
        <f t="shared" si="93"/>
        <v>5293.2633782201401</v>
      </c>
      <c r="U679" s="189">
        <f>T679</f>
        <v>5293.2633782201401</v>
      </c>
      <c r="V679" s="170">
        <f t="shared" si="97"/>
        <v>0</v>
      </c>
      <c r="W679" s="170"/>
      <c r="X679" s="170"/>
      <c r="Y679" s="173">
        <f t="shared" si="98"/>
        <v>4745.6317622950819</v>
      </c>
      <c r="AA679" s="173">
        <f t="shared" si="94"/>
        <v>620.9</v>
      </c>
      <c r="AH679" s="173" t="e">
        <f t="shared" si="95"/>
        <v>#N/A</v>
      </c>
      <c r="AS679" s="173" t="e">
        <f t="shared" si="96"/>
        <v>#N/A</v>
      </c>
    </row>
    <row r="680" spans="1:45" s="173" customFormat="1" ht="61.5" x14ac:dyDescent="0.9">
      <c r="A680" s="173">
        <v>1</v>
      </c>
      <c r="B680" s="91">
        <f>SUBTOTAL(103,$A$546:A680)</f>
        <v>134</v>
      </c>
      <c r="C680" s="90" t="s">
        <v>467</v>
      </c>
      <c r="D680" s="185">
        <v>1952</v>
      </c>
      <c r="E680" s="185">
        <v>2008</v>
      </c>
      <c r="F680" s="191" t="s">
        <v>273</v>
      </c>
      <c r="G680" s="185">
        <v>2</v>
      </c>
      <c r="H680" s="185">
        <v>1</v>
      </c>
      <c r="I680" s="186">
        <v>427.8</v>
      </c>
      <c r="J680" s="186">
        <v>392.1</v>
      </c>
      <c r="K680" s="186">
        <v>345.2</v>
      </c>
      <c r="L680" s="187">
        <v>21</v>
      </c>
      <c r="M680" s="185" t="s">
        <v>271</v>
      </c>
      <c r="N680" s="185" t="s">
        <v>275</v>
      </c>
      <c r="O680" s="188" t="s">
        <v>348</v>
      </c>
      <c r="P680" s="189">
        <v>1638422.64</v>
      </c>
      <c r="Q680" s="189">
        <v>0</v>
      </c>
      <c r="R680" s="189">
        <v>0</v>
      </c>
      <c r="S680" s="189">
        <f t="shared" si="100"/>
        <v>1638422.64</v>
      </c>
      <c r="T680" s="189">
        <f t="shared" si="93"/>
        <v>3829.8799438990177</v>
      </c>
      <c r="U680" s="189">
        <f>AG680</f>
        <v>6932.4203254271861</v>
      </c>
      <c r="V680" s="170">
        <f t="shared" si="97"/>
        <v>3102.5403815281684</v>
      </c>
      <c r="W680" s="170"/>
      <c r="X680" s="170"/>
      <c r="Y680" s="173" t="e">
        <f t="shared" si="98"/>
        <v>#N/A</v>
      </c>
      <c r="AA680" s="173" t="e">
        <f t="shared" si="94"/>
        <v>#N/A</v>
      </c>
      <c r="AG680" s="173">
        <f>AH680*6191.24/J680</f>
        <v>6932.4203254271861</v>
      </c>
      <c r="AH680" s="173">
        <f t="shared" si="95"/>
        <v>439.04</v>
      </c>
      <c r="AS680" s="173" t="e">
        <f t="shared" si="96"/>
        <v>#N/A</v>
      </c>
    </row>
    <row r="681" spans="1:45" s="173" customFormat="1" ht="36" customHeight="1" x14ac:dyDescent="0.9">
      <c r="A681" s="173">
        <v>1</v>
      </c>
      <c r="B681" s="91">
        <f>SUBTOTAL(103,$A$546:A681)</f>
        <v>135</v>
      </c>
      <c r="C681" s="90" t="s">
        <v>468</v>
      </c>
      <c r="D681" s="185">
        <v>1963</v>
      </c>
      <c r="E681" s="185"/>
      <c r="F681" s="191" t="s">
        <v>273</v>
      </c>
      <c r="G681" s="185">
        <v>4</v>
      </c>
      <c r="H681" s="185">
        <v>3</v>
      </c>
      <c r="I681" s="186">
        <v>2171.1999999999998</v>
      </c>
      <c r="J681" s="186">
        <v>2025.5</v>
      </c>
      <c r="K681" s="186">
        <v>1927.8</v>
      </c>
      <c r="L681" s="187">
        <v>84</v>
      </c>
      <c r="M681" s="185" t="s">
        <v>271</v>
      </c>
      <c r="N681" s="185" t="s">
        <v>272</v>
      </c>
      <c r="O681" s="188" t="s">
        <v>274</v>
      </c>
      <c r="P681" s="189">
        <v>4857938</v>
      </c>
      <c r="Q681" s="189">
        <v>0</v>
      </c>
      <c r="R681" s="189">
        <v>0</v>
      </c>
      <c r="S681" s="189">
        <f t="shared" si="100"/>
        <v>4857938</v>
      </c>
      <c r="T681" s="189">
        <f t="shared" si="93"/>
        <v>2237.4438098747237</v>
      </c>
      <c r="U681" s="189">
        <f>T681</f>
        <v>2237.4438098747237</v>
      </c>
      <c r="V681" s="170">
        <f t="shared" si="97"/>
        <v>0</v>
      </c>
      <c r="W681" s="170"/>
      <c r="X681" s="170"/>
      <c r="Y681" s="173">
        <f t="shared" si="98"/>
        <v>2130.8561164333087</v>
      </c>
      <c r="AA681" s="173">
        <f t="shared" si="94"/>
        <v>886</v>
      </c>
      <c r="AH681" s="173" t="e">
        <f t="shared" si="95"/>
        <v>#N/A</v>
      </c>
      <c r="AS681" s="173" t="e">
        <f t="shared" si="96"/>
        <v>#N/A</v>
      </c>
    </row>
    <row r="682" spans="1:45" s="173" customFormat="1" ht="36" customHeight="1" x14ac:dyDescent="0.9">
      <c r="A682" s="173">
        <v>1</v>
      </c>
      <c r="B682" s="91">
        <f>SUBTOTAL(103,$A$546:A682)</f>
        <v>136</v>
      </c>
      <c r="C682" s="90" t="s">
        <v>469</v>
      </c>
      <c r="D682" s="185">
        <v>1959</v>
      </c>
      <c r="E682" s="185"/>
      <c r="F682" s="191" t="s">
        <v>273</v>
      </c>
      <c r="G682" s="185">
        <v>2</v>
      </c>
      <c r="H682" s="185">
        <v>2</v>
      </c>
      <c r="I682" s="186">
        <v>678.8</v>
      </c>
      <c r="J682" s="186">
        <v>632.4</v>
      </c>
      <c r="K682" s="186">
        <v>632.4</v>
      </c>
      <c r="L682" s="187">
        <v>42</v>
      </c>
      <c r="M682" s="185" t="s">
        <v>271</v>
      </c>
      <c r="N682" s="185" t="s">
        <v>272</v>
      </c>
      <c r="O682" s="188" t="s">
        <v>274</v>
      </c>
      <c r="P682" s="189">
        <v>3345121.12</v>
      </c>
      <c r="Q682" s="189">
        <v>0</v>
      </c>
      <c r="R682" s="189">
        <v>0</v>
      </c>
      <c r="S682" s="189">
        <f t="shared" si="100"/>
        <v>3345121.12</v>
      </c>
      <c r="T682" s="189">
        <f t="shared" si="93"/>
        <v>4927.9922215674724</v>
      </c>
      <c r="U682" s="189">
        <f>T682</f>
        <v>4927.9922215674724</v>
      </c>
      <c r="V682" s="170">
        <f t="shared" si="97"/>
        <v>0</v>
      </c>
      <c r="W682" s="170"/>
      <c r="X682" s="170"/>
      <c r="Y682" s="173">
        <f t="shared" si="98"/>
        <v>4646.3865645256337</v>
      </c>
      <c r="AA682" s="173">
        <f t="shared" si="94"/>
        <v>604</v>
      </c>
      <c r="AH682" s="173" t="e">
        <f t="shared" si="95"/>
        <v>#N/A</v>
      </c>
      <c r="AS682" s="173" t="e">
        <f t="shared" si="96"/>
        <v>#N/A</v>
      </c>
    </row>
    <row r="683" spans="1:45" s="173" customFormat="1" ht="36" customHeight="1" x14ac:dyDescent="0.9">
      <c r="A683" s="173">
        <v>1</v>
      </c>
      <c r="B683" s="91">
        <f>SUBTOTAL(103,$A$546:A683)</f>
        <v>137</v>
      </c>
      <c r="C683" s="90" t="s">
        <v>470</v>
      </c>
      <c r="D683" s="185">
        <v>1959</v>
      </c>
      <c r="E683" s="185"/>
      <c r="F683" s="191" t="s">
        <v>273</v>
      </c>
      <c r="G683" s="185">
        <v>2</v>
      </c>
      <c r="H683" s="185">
        <v>2</v>
      </c>
      <c r="I683" s="186">
        <v>691.7</v>
      </c>
      <c r="J683" s="186">
        <v>645.29999999999995</v>
      </c>
      <c r="K683" s="186">
        <v>563.5</v>
      </c>
      <c r="L683" s="187">
        <v>28</v>
      </c>
      <c r="M683" s="185" t="s">
        <v>271</v>
      </c>
      <c r="N683" s="185" t="s">
        <v>272</v>
      </c>
      <c r="O683" s="188" t="s">
        <v>274</v>
      </c>
      <c r="P683" s="189">
        <v>3345121.12</v>
      </c>
      <c r="Q683" s="189">
        <v>0</v>
      </c>
      <c r="R683" s="189">
        <v>0</v>
      </c>
      <c r="S683" s="189">
        <f t="shared" si="100"/>
        <v>3345121.12</v>
      </c>
      <c r="T683" s="189">
        <f t="shared" si="93"/>
        <v>4836.0866271504983</v>
      </c>
      <c r="U683" s="189">
        <f>T683</f>
        <v>4836.0866271504983</v>
      </c>
      <c r="V683" s="170">
        <f t="shared" si="97"/>
        <v>0</v>
      </c>
      <c r="W683" s="170"/>
      <c r="X683" s="170"/>
      <c r="Y683" s="173">
        <f t="shared" si="98"/>
        <v>4559.7328321526675</v>
      </c>
      <c r="AA683" s="173">
        <f t="shared" si="94"/>
        <v>604</v>
      </c>
      <c r="AH683" s="173" t="e">
        <f t="shared" si="95"/>
        <v>#N/A</v>
      </c>
      <c r="AS683" s="173" t="e">
        <f t="shared" si="96"/>
        <v>#N/A</v>
      </c>
    </row>
    <row r="684" spans="1:45" s="173" customFormat="1" ht="36" customHeight="1" x14ac:dyDescent="0.9">
      <c r="A684" s="173">
        <v>1</v>
      </c>
      <c r="B684" s="91">
        <f>SUBTOTAL(103,$A$546:A684)</f>
        <v>138</v>
      </c>
      <c r="C684" s="90" t="s">
        <v>471</v>
      </c>
      <c r="D684" s="185">
        <v>1972</v>
      </c>
      <c r="E684" s="185"/>
      <c r="F684" s="191" t="s">
        <v>273</v>
      </c>
      <c r="G684" s="185">
        <v>2</v>
      </c>
      <c r="H684" s="185">
        <v>2</v>
      </c>
      <c r="I684" s="186">
        <v>795.2</v>
      </c>
      <c r="J684" s="186">
        <v>734.3</v>
      </c>
      <c r="K684" s="186">
        <v>469.2</v>
      </c>
      <c r="L684" s="187">
        <v>34</v>
      </c>
      <c r="M684" s="185" t="s">
        <v>271</v>
      </c>
      <c r="N684" s="185" t="s">
        <v>272</v>
      </c>
      <c r="O684" s="188" t="s">
        <v>274</v>
      </c>
      <c r="P684" s="189">
        <v>3589208.68</v>
      </c>
      <c r="Q684" s="189">
        <v>0</v>
      </c>
      <c r="R684" s="189">
        <v>0</v>
      </c>
      <c r="S684" s="189">
        <f t="shared" si="100"/>
        <v>3589208.68</v>
      </c>
      <c r="T684" s="189">
        <f t="shared" si="93"/>
        <v>4513.5924044265594</v>
      </c>
      <c r="U684" s="189">
        <f>Y684</f>
        <v>4749.2638732394362</v>
      </c>
      <c r="V684" s="170">
        <f t="shared" si="97"/>
        <v>235.67146881287681</v>
      </c>
      <c r="W684" s="170"/>
      <c r="X684" s="170"/>
      <c r="Y684" s="173">
        <f t="shared" si="98"/>
        <v>4749.2638732394362</v>
      </c>
      <c r="AA684" s="173">
        <f t="shared" si="94"/>
        <v>723.24</v>
      </c>
      <c r="AH684" s="173" t="e">
        <f t="shared" si="95"/>
        <v>#N/A</v>
      </c>
      <c r="AS684" s="173" t="e">
        <f t="shared" si="96"/>
        <v>#N/A</v>
      </c>
    </row>
    <row r="685" spans="1:45" s="173" customFormat="1" ht="36" customHeight="1" x14ac:dyDescent="0.9">
      <c r="A685" s="173">
        <v>1</v>
      </c>
      <c r="B685" s="91">
        <f>SUBTOTAL(103,$A$546:A685)</f>
        <v>139</v>
      </c>
      <c r="C685" s="90" t="s">
        <v>472</v>
      </c>
      <c r="D685" s="185">
        <v>1954</v>
      </c>
      <c r="E685" s="185"/>
      <c r="F685" s="191" t="s">
        <v>332</v>
      </c>
      <c r="G685" s="185">
        <v>2</v>
      </c>
      <c r="H685" s="185">
        <v>2</v>
      </c>
      <c r="I685" s="186">
        <v>390.9</v>
      </c>
      <c r="J685" s="186">
        <v>360.1</v>
      </c>
      <c r="K685" s="186">
        <v>360.1</v>
      </c>
      <c r="L685" s="187">
        <v>15</v>
      </c>
      <c r="M685" s="185" t="s">
        <v>271</v>
      </c>
      <c r="N685" s="185" t="s">
        <v>272</v>
      </c>
      <c r="O685" s="188" t="s">
        <v>274</v>
      </c>
      <c r="P685" s="189">
        <v>998954.77999999991</v>
      </c>
      <c r="Q685" s="189">
        <v>0</v>
      </c>
      <c r="R685" s="189">
        <v>0</v>
      </c>
      <c r="S685" s="189">
        <f t="shared" si="100"/>
        <v>998954.77999999991</v>
      </c>
      <c r="T685" s="189">
        <f t="shared" si="93"/>
        <v>2555.525147096444</v>
      </c>
      <c r="U685" s="189">
        <f>AG685</f>
        <v>7040.5797833935012</v>
      </c>
      <c r="V685" s="170">
        <f t="shared" si="97"/>
        <v>4485.0546362970572</v>
      </c>
      <c r="W685" s="170"/>
      <c r="X685" s="170"/>
      <c r="Y685" s="173" t="e">
        <f t="shared" si="98"/>
        <v>#N/A</v>
      </c>
      <c r="AA685" s="173" t="e">
        <f t="shared" si="94"/>
        <v>#N/A</v>
      </c>
      <c r="AG685" s="173">
        <f>AH685*6191.24/J685</f>
        <v>7040.5797833935012</v>
      </c>
      <c r="AH685" s="173">
        <f t="shared" si="95"/>
        <v>409.5</v>
      </c>
      <c r="AS685" s="173" t="e">
        <f t="shared" si="96"/>
        <v>#N/A</v>
      </c>
    </row>
    <row r="686" spans="1:45" s="173" customFormat="1" ht="36" customHeight="1" x14ac:dyDescent="0.9">
      <c r="A686" s="173">
        <v>1</v>
      </c>
      <c r="B686" s="91">
        <f>SUBTOTAL(103,$A$546:A686)</f>
        <v>140</v>
      </c>
      <c r="C686" s="90" t="s">
        <v>475</v>
      </c>
      <c r="D686" s="185">
        <v>1957</v>
      </c>
      <c r="E686" s="185">
        <v>2010</v>
      </c>
      <c r="F686" s="191" t="s">
        <v>273</v>
      </c>
      <c r="G686" s="185">
        <v>2</v>
      </c>
      <c r="H686" s="185">
        <v>2</v>
      </c>
      <c r="I686" s="186">
        <v>809.2</v>
      </c>
      <c r="J686" s="186">
        <v>720</v>
      </c>
      <c r="K686" s="186">
        <v>526.70000000000005</v>
      </c>
      <c r="L686" s="187">
        <v>14</v>
      </c>
      <c r="M686" s="185" t="s">
        <v>271</v>
      </c>
      <c r="N686" s="185" t="s">
        <v>349</v>
      </c>
      <c r="O686" s="188" t="s">
        <v>350</v>
      </c>
      <c r="P686" s="189">
        <v>3504528.03</v>
      </c>
      <c r="Q686" s="189">
        <v>0</v>
      </c>
      <c r="R686" s="189">
        <v>0</v>
      </c>
      <c r="S686" s="189">
        <f t="shared" si="100"/>
        <v>3504528.03</v>
      </c>
      <c r="T686" s="189">
        <f t="shared" si="93"/>
        <v>4330.8552026693023</v>
      </c>
      <c r="U686" s="189">
        <f>T686</f>
        <v>4330.8552026693023</v>
      </c>
      <c r="V686" s="170">
        <f t="shared" si="97"/>
        <v>0</v>
      </c>
      <c r="W686" s="170"/>
      <c r="X686" s="170"/>
      <c r="Y686" s="173" t="e">
        <f t="shared" si="98"/>
        <v>#N/A</v>
      </c>
      <c r="AA686" s="173" t="e">
        <f t="shared" si="94"/>
        <v>#N/A</v>
      </c>
      <c r="AH686" s="173" t="e">
        <f t="shared" si="95"/>
        <v>#N/A</v>
      </c>
      <c r="AS686" s="173" t="e">
        <f t="shared" si="96"/>
        <v>#N/A</v>
      </c>
    </row>
    <row r="687" spans="1:45" s="173" customFormat="1" ht="36" customHeight="1" x14ac:dyDescent="0.9">
      <c r="A687" s="173">
        <v>1</v>
      </c>
      <c r="B687" s="91">
        <f>SUBTOTAL(103,$A$546:A687)</f>
        <v>141</v>
      </c>
      <c r="C687" s="90" t="s">
        <v>476</v>
      </c>
      <c r="D687" s="185">
        <v>1976</v>
      </c>
      <c r="E687" s="185">
        <v>2008</v>
      </c>
      <c r="F687" s="191" t="s">
        <v>319</v>
      </c>
      <c r="G687" s="185">
        <v>5</v>
      </c>
      <c r="H687" s="185">
        <v>10</v>
      </c>
      <c r="I687" s="186">
        <v>8393.7999999999993</v>
      </c>
      <c r="J687" s="186">
        <v>7705.8</v>
      </c>
      <c r="K687" s="186">
        <v>7147.7</v>
      </c>
      <c r="L687" s="187">
        <v>351</v>
      </c>
      <c r="M687" s="185" t="s">
        <v>271</v>
      </c>
      <c r="N687" s="185" t="s">
        <v>275</v>
      </c>
      <c r="O687" s="188" t="s">
        <v>351</v>
      </c>
      <c r="P687" s="189">
        <v>7806669.5300000003</v>
      </c>
      <c r="Q687" s="189">
        <v>0</v>
      </c>
      <c r="R687" s="189">
        <v>0</v>
      </c>
      <c r="S687" s="189">
        <f t="shared" si="100"/>
        <v>7806669.5300000003</v>
      </c>
      <c r="T687" s="189">
        <f t="shared" si="93"/>
        <v>930.05188710715061</v>
      </c>
      <c r="U687" s="189">
        <f t="shared" ref="U687" si="101">Y687</f>
        <v>1911.9994769949249</v>
      </c>
      <c r="V687" s="170">
        <f t="shared" si="97"/>
        <v>981.94758988777426</v>
      </c>
      <c r="W687" s="170"/>
      <c r="X687" s="170"/>
      <c r="Y687" s="173">
        <f t="shared" si="98"/>
        <v>1911.9994769949249</v>
      </c>
      <c r="AA687" s="173">
        <f t="shared" si="94"/>
        <v>3073.45</v>
      </c>
      <c r="AH687" s="173" t="e">
        <f t="shared" si="95"/>
        <v>#N/A</v>
      </c>
      <c r="AS687" s="173" t="e">
        <f t="shared" si="96"/>
        <v>#N/A</v>
      </c>
    </row>
    <row r="688" spans="1:45" s="173" customFormat="1" ht="36" customHeight="1" x14ac:dyDescent="0.9">
      <c r="A688" s="173">
        <v>1</v>
      </c>
      <c r="B688" s="91">
        <f>SUBTOTAL(103,$A$546:A688)</f>
        <v>142</v>
      </c>
      <c r="C688" s="90" t="s">
        <v>455</v>
      </c>
      <c r="D688" s="185">
        <v>1958</v>
      </c>
      <c r="E688" s="185"/>
      <c r="F688" s="191" t="s">
        <v>273</v>
      </c>
      <c r="G688" s="185">
        <v>2</v>
      </c>
      <c r="H688" s="185">
        <v>2</v>
      </c>
      <c r="I688" s="189">
        <v>615.29999999999995</v>
      </c>
      <c r="J688" s="189">
        <v>568.6</v>
      </c>
      <c r="K688" s="189">
        <v>492.1</v>
      </c>
      <c r="L688" s="187">
        <v>25</v>
      </c>
      <c r="M688" s="185" t="s">
        <v>271</v>
      </c>
      <c r="N688" s="185" t="s">
        <v>272</v>
      </c>
      <c r="O688" s="188" t="s">
        <v>274</v>
      </c>
      <c r="P688" s="189">
        <v>2928184.83</v>
      </c>
      <c r="Q688" s="189">
        <v>0</v>
      </c>
      <c r="R688" s="189">
        <v>0</v>
      </c>
      <c r="S688" s="189">
        <f t="shared" si="100"/>
        <v>2928184.83</v>
      </c>
      <c r="T688" s="189">
        <f t="shared" si="93"/>
        <v>4758.9547050219408</v>
      </c>
      <c r="U688" s="189">
        <f>T688</f>
        <v>4758.9547050219408</v>
      </c>
      <c r="V688" s="170">
        <f t="shared" si="97"/>
        <v>0</v>
      </c>
      <c r="W688" s="170"/>
      <c r="X688" s="170"/>
      <c r="Y688" s="173">
        <f t="shared" si="98"/>
        <v>4485.1638225255983</v>
      </c>
      <c r="AA688" s="173">
        <f t="shared" si="94"/>
        <v>528.5</v>
      </c>
      <c r="AH688" s="173" t="e">
        <f t="shared" si="95"/>
        <v>#N/A</v>
      </c>
      <c r="AS688" s="173" t="e">
        <f t="shared" si="96"/>
        <v>#N/A</v>
      </c>
    </row>
    <row r="689" spans="1:45" s="173" customFormat="1" ht="36" customHeight="1" x14ac:dyDescent="0.9">
      <c r="A689" s="173">
        <v>1</v>
      </c>
      <c r="B689" s="91">
        <f>SUBTOTAL(103,$A$546:A689)</f>
        <v>143</v>
      </c>
      <c r="C689" s="90" t="s">
        <v>456</v>
      </c>
      <c r="D689" s="185">
        <v>1969</v>
      </c>
      <c r="E689" s="185"/>
      <c r="F689" s="191" t="s">
        <v>273</v>
      </c>
      <c r="G689" s="185">
        <v>2</v>
      </c>
      <c r="H689" s="185">
        <v>2</v>
      </c>
      <c r="I689" s="189">
        <v>725.2</v>
      </c>
      <c r="J689" s="189">
        <v>674.9</v>
      </c>
      <c r="K689" s="189">
        <v>506.2</v>
      </c>
      <c r="L689" s="187">
        <v>25</v>
      </c>
      <c r="M689" s="185" t="s">
        <v>271</v>
      </c>
      <c r="N689" s="185" t="s">
        <v>272</v>
      </c>
      <c r="O689" s="188" t="s">
        <v>274</v>
      </c>
      <c r="P689" s="189">
        <v>4800723</v>
      </c>
      <c r="Q689" s="189">
        <v>0</v>
      </c>
      <c r="R689" s="189">
        <v>0</v>
      </c>
      <c r="S689" s="189">
        <f t="shared" si="100"/>
        <v>4800723</v>
      </c>
      <c r="T689" s="189">
        <f t="shared" si="93"/>
        <v>6619.860728075013</v>
      </c>
      <c r="U689" s="189">
        <f>T689</f>
        <v>6619.860728075013</v>
      </c>
      <c r="V689" s="170">
        <f t="shared" si="97"/>
        <v>0</v>
      </c>
      <c r="W689" s="170"/>
      <c r="X689" s="170"/>
      <c r="Y689" s="173">
        <f t="shared" si="98"/>
        <v>6120.4219525648095</v>
      </c>
      <c r="AA689" s="173">
        <f t="shared" si="94"/>
        <v>850</v>
      </c>
      <c r="AH689" s="173" t="e">
        <f t="shared" si="95"/>
        <v>#N/A</v>
      </c>
      <c r="AS689" s="173" t="e">
        <f t="shared" si="96"/>
        <v>#N/A</v>
      </c>
    </row>
    <row r="690" spans="1:45" s="173" customFormat="1" ht="36" customHeight="1" x14ac:dyDescent="0.9">
      <c r="A690" s="173">
        <v>1</v>
      </c>
      <c r="B690" s="91">
        <f>SUBTOTAL(103,$A$546:A690)</f>
        <v>144</v>
      </c>
      <c r="C690" s="90" t="s">
        <v>1315</v>
      </c>
      <c r="D690" s="185">
        <v>1970</v>
      </c>
      <c r="E690" s="185"/>
      <c r="F690" s="191" t="s">
        <v>273</v>
      </c>
      <c r="G690" s="185">
        <v>2</v>
      </c>
      <c r="H690" s="185">
        <v>2</v>
      </c>
      <c r="I690" s="186">
        <v>780.1</v>
      </c>
      <c r="J690" s="186">
        <v>721</v>
      </c>
      <c r="K690" s="186">
        <v>721</v>
      </c>
      <c r="L690" s="187">
        <v>29</v>
      </c>
      <c r="M690" s="185" t="s">
        <v>271</v>
      </c>
      <c r="N690" s="185" t="s">
        <v>272</v>
      </c>
      <c r="O690" s="188" t="s">
        <v>274</v>
      </c>
      <c r="P690" s="189">
        <v>3973949.34</v>
      </c>
      <c r="Q690" s="189">
        <v>0</v>
      </c>
      <c r="R690" s="189">
        <v>0</v>
      </c>
      <c r="S690" s="189">
        <f t="shared" si="100"/>
        <v>3973949.34</v>
      </c>
      <c r="T690" s="189">
        <f t="shared" si="93"/>
        <v>5094.1537495192924</v>
      </c>
      <c r="U690" s="189">
        <f>T690</f>
        <v>5094.1537495192924</v>
      </c>
      <c r="V690" s="170">
        <f t="shared" si="97"/>
        <v>0</v>
      </c>
      <c r="W690" s="170"/>
      <c r="X690" s="170"/>
      <c r="Y690" s="173">
        <f t="shared" si="98"/>
        <v>4797.2819177028587</v>
      </c>
      <c r="AA690" s="173">
        <f t="shared" si="94"/>
        <v>716.68</v>
      </c>
      <c r="AH690" s="173" t="e">
        <f t="shared" si="95"/>
        <v>#N/A</v>
      </c>
      <c r="AS690" s="173" t="e">
        <f t="shared" si="96"/>
        <v>#N/A</v>
      </c>
    </row>
    <row r="691" spans="1:45" s="173" customFormat="1" ht="36" customHeight="1" x14ac:dyDescent="0.9">
      <c r="A691" s="173">
        <v>1</v>
      </c>
      <c r="B691" s="91">
        <f>SUBTOTAL(103,$A$546:A691)</f>
        <v>145</v>
      </c>
      <c r="C691" s="90" t="s">
        <v>474</v>
      </c>
      <c r="D691" s="185">
        <v>1971</v>
      </c>
      <c r="E691" s="185"/>
      <c r="F691" s="191" t="s">
        <v>273</v>
      </c>
      <c r="G691" s="185">
        <v>2</v>
      </c>
      <c r="H691" s="185">
        <v>2</v>
      </c>
      <c r="I691" s="186">
        <v>775.6</v>
      </c>
      <c r="J691" s="186">
        <v>716.4</v>
      </c>
      <c r="K691" s="186">
        <v>574.1</v>
      </c>
      <c r="L691" s="187">
        <v>35</v>
      </c>
      <c r="M691" s="185" t="s">
        <v>271</v>
      </c>
      <c r="N691" s="185" t="s">
        <v>272</v>
      </c>
      <c r="O691" s="188" t="s">
        <v>274</v>
      </c>
      <c r="P691" s="189">
        <v>3793636.92</v>
      </c>
      <c r="Q691" s="189">
        <v>0</v>
      </c>
      <c r="R691" s="189">
        <v>0</v>
      </c>
      <c r="S691" s="189">
        <f t="shared" si="100"/>
        <v>3793636.92</v>
      </c>
      <c r="T691" s="189">
        <f t="shared" si="93"/>
        <v>4891.228623001547</v>
      </c>
      <c r="U691" s="189">
        <f>T691</f>
        <v>4891.228623001547</v>
      </c>
      <c r="V691" s="170">
        <f t="shared" si="97"/>
        <v>0</v>
      </c>
      <c r="W691" s="170"/>
      <c r="X691" s="170"/>
      <c r="Y691" s="173">
        <f t="shared" si="98"/>
        <v>4874.3981433728732</v>
      </c>
      <c r="AA691" s="173">
        <f t="shared" si="94"/>
        <v>724</v>
      </c>
      <c r="AH691" s="173" t="e">
        <f t="shared" si="95"/>
        <v>#N/A</v>
      </c>
      <c r="AS691" s="173" t="e">
        <f t="shared" si="96"/>
        <v>#N/A</v>
      </c>
    </row>
    <row r="692" spans="1:45" s="173" customFormat="1" ht="36" customHeight="1" x14ac:dyDescent="0.9">
      <c r="A692" s="173">
        <v>1</v>
      </c>
      <c r="B692" s="91">
        <f>SUBTOTAL(103,$A$546:A692)</f>
        <v>146</v>
      </c>
      <c r="C692" s="90" t="s">
        <v>1670</v>
      </c>
      <c r="D692" s="185">
        <v>1959</v>
      </c>
      <c r="E692" s="185"/>
      <c r="F692" s="191" t="s">
        <v>1371</v>
      </c>
      <c r="G692" s="185">
        <v>2</v>
      </c>
      <c r="H692" s="185">
        <v>2</v>
      </c>
      <c r="I692" s="186">
        <v>693.8</v>
      </c>
      <c r="J692" s="186">
        <v>573.4</v>
      </c>
      <c r="K692" s="186">
        <f>J692-76.6</f>
        <v>496.79999999999995</v>
      </c>
      <c r="L692" s="187">
        <v>22</v>
      </c>
      <c r="M692" s="185" t="s">
        <v>271</v>
      </c>
      <c r="N692" s="185" t="s">
        <v>272</v>
      </c>
      <c r="O692" s="188" t="s">
        <v>274</v>
      </c>
      <c r="P692" s="189">
        <v>3607695.84</v>
      </c>
      <c r="Q692" s="189">
        <v>0</v>
      </c>
      <c r="R692" s="189">
        <v>0</v>
      </c>
      <c r="S692" s="189">
        <f t="shared" si="100"/>
        <v>3607695.84</v>
      </c>
      <c r="T692" s="189">
        <f t="shared" si="93"/>
        <v>5199.9075237820698</v>
      </c>
      <c r="U692" s="189">
        <f>T692</f>
        <v>5199.9075237820698</v>
      </c>
      <c r="V692" s="170">
        <f t="shared" si="97"/>
        <v>0</v>
      </c>
      <c r="W692" s="170"/>
      <c r="X692" s="170"/>
      <c r="Y692" s="173">
        <f t="shared" si="98"/>
        <v>4723.55387719804</v>
      </c>
      <c r="AA692" s="173">
        <f t="shared" si="94"/>
        <v>627.6</v>
      </c>
      <c r="AH692" s="173" t="e">
        <f t="shared" si="95"/>
        <v>#N/A</v>
      </c>
      <c r="AS692" s="173" t="e">
        <f t="shared" si="96"/>
        <v>#N/A</v>
      </c>
    </row>
    <row r="693" spans="1:45" s="173" customFormat="1" ht="36" customHeight="1" x14ac:dyDescent="0.9">
      <c r="A693" s="173">
        <v>1</v>
      </c>
      <c r="B693" s="91">
        <f>SUBTOTAL(103,$A$546:A693)</f>
        <v>147</v>
      </c>
      <c r="C693" s="90" t="s">
        <v>1671</v>
      </c>
      <c r="D693" s="185">
        <v>1959</v>
      </c>
      <c r="E693" s="185"/>
      <c r="F693" s="191" t="s">
        <v>1371</v>
      </c>
      <c r="G693" s="185">
        <v>2</v>
      </c>
      <c r="H693" s="185">
        <v>1</v>
      </c>
      <c r="I693" s="186">
        <v>301.39999999999998</v>
      </c>
      <c r="J693" s="186">
        <v>280.39999999999998</v>
      </c>
      <c r="K693" s="186">
        <f>J693</f>
        <v>280.39999999999998</v>
      </c>
      <c r="L693" s="187">
        <v>21</v>
      </c>
      <c r="M693" s="185" t="s">
        <v>271</v>
      </c>
      <c r="N693" s="185" t="s">
        <v>272</v>
      </c>
      <c r="O693" s="188" t="s">
        <v>274</v>
      </c>
      <c r="P693" s="189">
        <v>1597480.36</v>
      </c>
      <c r="Q693" s="189">
        <v>0</v>
      </c>
      <c r="R693" s="189">
        <v>0</v>
      </c>
      <c r="S693" s="189">
        <f t="shared" si="100"/>
        <v>1597480.36</v>
      </c>
      <c r="T693" s="189">
        <f t="shared" si="93"/>
        <v>5300.2002654280031</v>
      </c>
      <c r="U693" s="189">
        <v>5300.2002654280031</v>
      </c>
      <c r="V693" s="170">
        <f t="shared" si="97"/>
        <v>0</v>
      </c>
      <c r="W693" s="170"/>
      <c r="X693" s="170"/>
      <c r="Y693" s="173">
        <f t="shared" si="98"/>
        <v>4814.6589913735897</v>
      </c>
      <c r="AA693" s="173">
        <f t="shared" si="94"/>
        <v>277.89999999999998</v>
      </c>
      <c r="AH693" s="173" t="e">
        <f t="shared" si="95"/>
        <v>#N/A</v>
      </c>
      <c r="AS693" s="173" t="e">
        <f t="shared" si="96"/>
        <v>#N/A</v>
      </c>
    </row>
    <row r="694" spans="1:45" s="173" customFormat="1" ht="36" customHeight="1" x14ac:dyDescent="0.9">
      <c r="A694" s="173">
        <v>1</v>
      </c>
      <c r="B694" s="91">
        <f>SUBTOTAL(103,$A$546:A694)</f>
        <v>148</v>
      </c>
      <c r="C694" s="90" t="s">
        <v>1672</v>
      </c>
      <c r="D694" s="185">
        <v>1962</v>
      </c>
      <c r="E694" s="185"/>
      <c r="F694" s="191" t="s">
        <v>1371</v>
      </c>
      <c r="G694" s="185">
        <v>2</v>
      </c>
      <c r="H694" s="185">
        <v>2</v>
      </c>
      <c r="I694" s="186">
        <v>547.5</v>
      </c>
      <c r="J694" s="186">
        <v>547.5</v>
      </c>
      <c r="K694" s="186">
        <f>J694-68.4</f>
        <v>479.1</v>
      </c>
      <c r="L694" s="187">
        <v>42</v>
      </c>
      <c r="M694" s="185" t="s">
        <v>271</v>
      </c>
      <c r="N694" s="185" t="s">
        <v>272</v>
      </c>
      <c r="O694" s="188" t="s">
        <v>274</v>
      </c>
      <c r="P694" s="189">
        <v>3132303.1599999997</v>
      </c>
      <c r="Q694" s="189">
        <v>0</v>
      </c>
      <c r="R694" s="189">
        <v>0</v>
      </c>
      <c r="S694" s="189">
        <f t="shared" si="100"/>
        <v>3132303.1599999997</v>
      </c>
      <c r="T694" s="189">
        <f t="shared" si="93"/>
        <v>5721.1016621004565</v>
      </c>
      <c r="U694" s="189">
        <v>5721.1016621004565</v>
      </c>
      <c r="V694" s="170">
        <f t="shared" si="97"/>
        <v>0</v>
      </c>
      <c r="W694" s="170"/>
      <c r="X694" s="170"/>
      <c r="Y694" s="173">
        <f t="shared" si="98"/>
        <v>5197.002410958904</v>
      </c>
      <c r="AA694" s="173">
        <f t="shared" si="94"/>
        <v>544.9</v>
      </c>
      <c r="AH694" s="173" t="e">
        <f t="shared" si="95"/>
        <v>#N/A</v>
      </c>
      <c r="AS694" s="173" t="e">
        <f t="shared" si="96"/>
        <v>#N/A</v>
      </c>
    </row>
    <row r="695" spans="1:45" s="173" customFormat="1" ht="36" customHeight="1" x14ac:dyDescent="0.9">
      <c r="A695" s="173">
        <v>1</v>
      </c>
      <c r="B695" s="91">
        <f>SUBTOTAL(103,$A$546:A695)</f>
        <v>149</v>
      </c>
      <c r="C695" s="90" t="s">
        <v>1673</v>
      </c>
      <c r="D695" s="185">
        <v>1966</v>
      </c>
      <c r="E695" s="185"/>
      <c r="F695" s="191" t="s">
        <v>1371</v>
      </c>
      <c r="G695" s="185">
        <v>2</v>
      </c>
      <c r="H695" s="185">
        <v>2</v>
      </c>
      <c r="I695" s="186">
        <v>462.6</v>
      </c>
      <c r="J695" s="186">
        <v>462.6</v>
      </c>
      <c r="K695" s="186">
        <f>J695</f>
        <v>462.6</v>
      </c>
      <c r="L695" s="187">
        <v>31</v>
      </c>
      <c r="M695" s="185" t="s">
        <v>271</v>
      </c>
      <c r="N695" s="185" t="s">
        <v>272</v>
      </c>
      <c r="O695" s="188" t="s">
        <v>274</v>
      </c>
      <c r="P695" s="189">
        <v>1937212.2999999998</v>
      </c>
      <c r="Q695" s="189">
        <v>0</v>
      </c>
      <c r="R695" s="189">
        <v>0</v>
      </c>
      <c r="S695" s="189">
        <f t="shared" ref="S695:S696" si="102">P695-Q695-R695</f>
        <v>1937212.2999999998</v>
      </c>
      <c r="T695" s="189">
        <f t="shared" ref="T695:T696" si="103">P695/I695</f>
        <v>4187.661694768698</v>
      </c>
      <c r="U695" s="189">
        <v>4187.661694768698</v>
      </c>
      <c r="V695" s="170">
        <f t="shared" ref="V695:V696" si="104">U695-T695</f>
        <v>0</v>
      </c>
      <c r="W695" s="170"/>
      <c r="X695" s="170"/>
      <c r="Y695" s="173">
        <f t="shared" ref="Y695" si="105">AA695*5221.8/I695</f>
        <v>3804.035019455253</v>
      </c>
      <c r="AA695" s="173">
        <f t="shared" si="94"/>
        <v>337</v>
      </c>
      <c r="AH695" s="173" t="e">
        <f t="shared" si="95"/>
        <v>#N/A</v>
      </c>
      <c r="AS695" s="173" t="e">
        <f t="shared" si="96"/>
        <v>#N/A</v>
      </c>
    </row>
    <row r="696" spans="1:45" s="173" customFormat="1" ht="36" customHeight="1" x14ac:dyDescent="0.9">
      <c r="A696" s="173">
        <v>1</v>
      </c>
      <c r="B696" s="91">
        <f>SUBTOTAL(103,$A$546:A696)</f>
        <v>150</v>
      </c>
      <c r="C696" s="90" t="s">
        <v>487</v>
      </c>
      <c r="D696" s="185">
        <v>1958</v>
      </c>
      <c r="E696" s="185"/>
      <c r="F696" s="191" t="s">
        <v>273</v>
      </c>
      <c r="G696" s="185">
        <v>2</v>
      </c>
      <c r="H696" s="185">
        <v>1</v>
      </c>
      <c r="I696" s="186">
        <v>714.4</v>
      </c>
      <c r="J696" s="186">
        <v>687.7</v>
      </c>
      <c r="K696" s="186">
        <v>565.79999999999995</v>
      </c>
      <c r="L696" s="187">
        <v>17</v>
      </c>
      <c r="M696" s="185" t="s">
        <v>271</v>
      </c>
      <c r="N696" s="185" t="s">
        <v>349</v>
      </c>
      <c r="O696" s="188" t="s">
        <v>350</v>
      </c>
      <c r="P696" s="189">
        <v>2847699.39</v>
      </c>
      <c r="Q696" s="189">
        <v>0</v>
      </c>
      <c r="R696" s="189">
        <v>0</v>
      </c>
      <c r="S696" s="189">
        <f t="shared" si="102"/>
        <v>2847699.39</v>
      </c>
      <c r="T696" s="189">
        <f t="shared" si="103"/>
        <v>3986.1413633818593</v>
      </c>
      <c r="U696" s="189">
        <f t="shared" ref="U696" si="106">T696</f>
        <v>3986.1413633818593</v>
      </c>
      <c r="V696" s="170">
        <f t="shared" si="104"/>
        <v>0</v>
      </c>
      <c r="W696" s="170"/>
      <c r="X696" s="170"/>
      <c r="AS696" s="173" t="e">
        <f t="shared" si="96"/>
        <v>#N/A</v>
      </c>
    </row>
    <row r="697" spans="1:45" s="173" customFormat="1" ht="36" customHeight="1" x14ac:dyDescent="0.9">
      <c r="B697" s="90" t="s">
        <v>782</v>
      </c>
      <c r="C697" s="192"/>
      <c r="D697" s="185" t="s">
        <v>915</v>
      </c>
      <c r="E697" s="185" t="s">
        <v>915</v>
      </c>
      <c r="F697" s="185" t="s">
        <v>915</v>
      </c>
      <c r="G697" s="185" t="s">
        <v>915</v>
      </c>
      <c r="H697" s="185" t="s">
        <v>915</v>
      </c>
      <c r="I697" s="186">
        <f>SUM(I698:I758)</f>
        <v>108368.81999999998</v>
      </c>
      <c r="J697" s="186">
        <f>SUM(J698:J758)</f>
        <v>91899.839999999982</v>
      </c>
      <c r="K697" s="186">
        <f>SUM(K698:K758)</f>
        <v>82185</v>
      </c>
      <c r="L697" s="187">
        <f>SUM(L698:L758)</f>
        <v>4466</v>
      </c>
      <c r="M697" s="185" t="s">
        <v>915</v>
      </c>
      <c r="N697" s="185" t="s">
        <v>915</v>
      </c>
      <c r="O697" s="188" t="s">
        <v>915</v>
      </c>
      <c r="P697" s="186">
        <v>119543691.27</v>
      </c>
      <c r="Q697" s="186">
        <f>SUM(Q698:Q758)</f>
        <v>0</v>
      </c>
      <c r="R697" s="186">
        <f>SUM(R698:R758)</f>
        <v>0</v>
      </c>
      <c r="S697" s="186">
        <f>SUM(S698:S758)</f>
        <v>119543691.27</v>
      </c>
      <c r="T697" s="189">
        <f t="shared" si="93"/>
        <v>1103.1188793049516</v>
      </c>
      <c r="U697" s="189">
        <f>MAX(U698:U758)</f>
        <v>6377.7287405812704</v>
      </c>
      <c r="V697" s="170">
        <f t="shared" si="97"/>
        <v>5274.609861276319</v>
      </c>
      <c r="W697" s="170"/>
      <c r="X697" s="170"/>
      <c r="Y697" s="173" t="e">
        <f t="shared" si="98"/>
        <v>#N/A</v>
      </c>
      <c r="AA697" s="173" t="e">
        <f t="shared" ref="AA697:AA729" si="107">VLOOKUP(C697,AC:AE,2,FALSE)</f>
        <v>#N/A</v>
      </c>
      <c r="AH697" s="173" t="e">
        <f t="shared" ref="AH697:AH729" si="108">VLOOKUP(C697,AJ:AK,2,FALSE)</f>
        <v>#N/A</v>
      </c>
      <c r="AS697" s="173" t="e">
        <f t="shared" si="96"/>
        <v>#N/A</v>
      </c>
    </row>
    <row r="698" spans="1:45" s="173" customFormat="1" ht="36" customHeight="1" x14ac:dyDescent="0.9">
      <c r="A698" s="173">
        <v>1</v>
      </c>
      <c r="B698" s="91">
        <f>SUBTOTAL(103,$A$546:A698)</f>
        <v>151</v>
      </c>
      <c r="C698" s="90" t="s">
        <v>411</v>
      </c>
      <c r="D698" s="185">
        <v>1985</v>
      </c>
      <c r="E698" s="185"/>
      <c r="F698" s="191" t="s">
        <v>273</v>
      </c>
      <c r="G698" s="185">
        <v>5</v>
      </c>
      <c r="H698" s="185">
        <v>6</v>
      </c>
      <c r="I698" s="186">
        <v>4537.2</v>
      </c>
      <c r="J698" s="186">
        <v>4163</v>
      </c>
      <c r="K698" s="186">
        <v>3807.9</v>
      </c>
      <c r="L698" s="187">
        <v>204</v>
      </c>
      <c r="M698" s="185" t="s">
        <v>271</v>
      </c>
      <c r="N698" s="185" t="s">
        <v>275</v>
      </c>
      <c r="O698" s="188" t="s">
        <v>1016</v>
      </c>
      <c r="P698" s="189">
        <v>6231804.3600000003</v>
      </c>
      <c r="Q698" s="189">
        <v>0</v>
      </c>
      <c r="R698" s="189">
        <v>0</v>
      </c>
      <c r="S698" s="189">
        <f t="shared" ref="S698:S758" si="109">P698-Q698-R698</f>
        <v>6231804.3600000003</v>
      </c>
      <c r="T698" s="189">
        <f t="shared" si="93"/>
        <v>1373.4912192541658</v>
      </c>
      <c r="U698" s="189">
        <f>Y698</f>
        <v>1607.7877545622853</v>
      </c>
      <c r="V698" s="170">
        <f t="shared" si="97"/>
        <v>234.29653530811947</v>
      </c>
      <c r="W698" s="170"/>
      <c r="X698" s="170"/>
      <c r="Y698" s="173">
        <f t="shared" si="98"/>
        <v>1607.7877545622853</v>
      </c>
      <c r="AA698" s="173">
        <f t="shared" si="107"/>
        <v>1397</v>
      </c>
      <c r="AH698" s="173" t="e">
        <f t="shared" si="108"/>
        <v>#N/A</v>
      </c>
      <c r="AS698" s="173" t="e">
        <f t="shared" si="96"/>
        <v>#N/A</v>
      </c>
    </row>
    <row r="699" spans="1:45" s="173" customFormat="1" ht="36" customHeight="1" x14ac:dyDescent="0.9">
      <c r="A699" s="173">
        <v>1</v>
      </c>
      <c r="B699" s="91">
        <f>SUBTOTAL(103,$A$546:A699)</f>
        <v>152</v>
      </c>
      <c r="C699" s="90" t="s">
        <v>412</v>
      </c>
      <c r="D699" s="185" t="s">
        <v>337</v>
      </c>
      <c r="E699" s="185"/>
      <c r="F699" s="191" t="s">
        <v>273</v>
      </c>
      <c r="G699" s="185">
        <v>9</v>
      </c>
      <c r="H699" s="185">
        <v>1</v>
      </c>
      <c r="I699" s="186">
        <v>2760.5</v>
      </c>
      <c r="J699" s="186">
        <v>2756.6</v>
      </c>
      <c r="K699" s="186">
        <v>2688.2</v>
      </c>
      <c r="L699" s="187">
        <v>123</v>
      </c>
      <c r="M699" s="185" t="s">
        <v>271</v>
      </c>
      <c r="N699" s="185" t="s">
        <v>275</v>
      </c>
      <c r="O699" s="188" t="s">
        <v>330</v>
      </c>
      <c r="P699" s="189">
        <v>2216554.6800000002</v>
      </c>
      <c r="Q699" s="189">
        <v>0</v>
      </c>
      <c r="R699" s="189">
        <v>0</v>
      </c>
      <c r="S699" s="189">
        <f t="shared" si="109"/>
        <v>2216554.6800000002</v>
      </c>
      <c r="T699" s="189">
        <f t="shared" si="93"/>
        <v>802.95405904727409</v>
      </c>
      <c r="U699" s="189">
        <f>T699</f>
        <v>802.95405904727409</v>
      </c>
      <c r="V699" s="170">
        <f t="shared" si="97"/>
        <v>0</v>
      </c>
      <c r="W699" s="170"/>
      <c r="X699" s="170"/>
      <c r="Y699" s="173" t="e">
        <f t="shared" si="98"/>
        <v>#N/A</v>
      </c>
      <c r="AA699" s="173" t="e">
        <f t="shared" si="107"/>
        <v>#N/A</v>
      </c>
      <c r="AH699" s="173" t="e">
        <f t="shared" si="108"/>
        <v>#N/A</v>
      </c>
      <c r="AR699" s="173">
        <f>AS699*2207413/I699</f>
        <v>799.64245607679766</v>
      </c>
      <c r="AS699" s="173">
        <f t="shared" si="96"/>
        <v>1</v>
      </c>
    </row>
    <row r="700" spans="1:45" s="173" customFormat="1" ht="36" customHeight="1" x14ac:dyDescent="0.9">
      <c r="A700" s="173">
        <v>1</v>
      </c>
      <c r="B700" s="91">
        <f>SUBTOTAL(103,$A$546:A700)</f>
        <v>153</v>
      </c>
      <c r="C700" s="90" t="s">
        <v>413</v>
      </c>
      <c r="D700" s="185">
        <v>1987</v>
      </c>
      <c r="E700" s="185"/>
      <c r="F700" s="191" t="s">
        <v>273</v>
      </c>
      <c r="G700" s="185">
        <v>9</v>
      </c>
      <c r="H700" s="185">
        <v>1</v>
      </c>
      <c r="I700" s="186">
        <v>6006.9</v>
      </c>
      <c r="J700" s="186">
        <v>4693</v>
      </c>
      <c r="K700" s="186">
        <v>4333.1000000000004</v>
      </c>
      <c r="L700" s="187">
        <v>292</v>
      </c>
      <c r="M700" s="185" t="s">
        <v>271</v>
      </c>
      <c r="N700" s="185" t="s">
        <v>275</v>
      </c>
      <c r="O700" s="188" t="s">
        <v>329</v>
      </c>
      <c r="P700" s="189">
        <v>4914920.1100000003</v>
      </c>
      <c r="Q700" s="189">
        <v>0</v>
      </c>
      <c r="R700" s="189">
        <v>0</v>
      </c>
      <c r="S700" s="189">
        <f t="shared" si="109"/>
        <v>4914920.1100000003</v>
      </c>
      <c r="T700" s="189">
        <f t="shared" si="93"/>
        <v>818.21240739815892</v>
      </c>
      <c r="U700" s="189">
        <v>818.21240739815892</v>
      </c>
      <c r="V700" s="170">
        <f t="shared" si="97"/>
        <v>0</v>
      </c>
      <c r="W700" s="170"/>
      <c r="X700" s="170"/>
      <c r="Y700" s="173">
        <f t="shared" si="98"/>
        <v>798.01767966838145</v>
      </c>
      <c r="AA700" s="173">
        <f t="shared" si="107"/>
        <v>918</v>
      </c>
      <c r="AH700" s="173" t="e">
        <f t="shared" si="108"/>
        <v>#N/A</v>
      </c>
      <c r="AS700" s="173" t="e">
        <f t="shared" si="96"/>
        <v>#N/A</v>
      </c>
    </row>
    <row r="701" spans="1:45" s="173" customFormat="1" ht="36" customHeight="1" x14ac:dyDescent="0.9">
      <c r="A701" s="173">
        <v>1</v>
      </c>
      <c r="B701" s="91">
        <f>SUBTOTAL(103,$A$546:A701)</f>
        <v>154</v>
      </c>
      <c r="C701" s="90" t="s">
        <v>414</v>
      </c>
      <c r="D701" s="185">
        <v>1959</v>
      </c>
      <c r="E701" s="185"/>
      <c r="F701" s="191" t="s">
        <v>273</v>
      </c>
      <c r="G701" s="185">
        <v>4</v>
      </c>
      <c r="H701" s="185">
        <v>1</v>
      </c>
      <c r="I701" s="186">
        <v>1756.3</v>
      </c>
      <c r="J701" s="186">
        <v>1356.3</v>
      </c>
      <c r="K701" s="186">
        <v>1024.3</v>
      </c>
      <c r="L701" s="187">
        <v>59</v>
      </c>
      <c r="M701" s="185" t="s">
        <v>271</v>
      </c>
      <c r="N701" s="185" t="s">
        <v>272</v>
      </c>
      <c r="O701" s="188" t="s">
        <v>274</v>
      </c>
      <c r="P701" s="189">
        <v>3567125.84</v>
      </c>
      <c r="Q701" s="189">
        <v>0</v>
      </c>
      <c r="R701" s="189">
        <v>0</v>
      </c>
      <c r="S701" s="189">
        <f t="shared" si="109"/>
        <v>3567125.84</v>
      </c>
      <c r="T701" s="189">
        <f t="shared" si="93"/>
        <v>2031.0458577691738</v>
      </c>
      <c r="U701" s="189">
        <v>2031.0458577691738</v>
      </c>
      <c r="V701" s="170">
        <f t="shared" si="97"/>
        <v>0</v>
      </c>
      <c r="W701" s="170"/>
      <c r="X701" s="170"/>
      <c r="Y701" s="173">
        <f t="shared" si="98"/>
        <v>1932.5684678016285</v>
      </c>
      <c r="AA701" s="173">
        <f t="shared" si="107"/>
        <v>650</v>
      </c>
      <c r="AH701" s="173" t="e">
        <f t="shared" si="108"/>
        <v>#N/A</v>
      </c>
      <c r="AS701" s="173" t="e">
        <f t="shared" si="96"/>
        <v>#N/A</v>
      </c>
    </row>
    <row r="702" spans="1:45" s="173" customFormat="1" ht="36" customHeight="1" x14ac:dyDescent="0.9">
      <c r="A702" s="173">
        <v>1</v>
      </c>
      <c r="B702" s="91">
        <f>SUBTOTAL(103,$A$546:A702)</f>
        <v>155</v>
      </c>
      <c r="C702" s="90" t="s">
        <v>415</v>
      </c>
      <c r="D702" s="185">
        <v>1941</v>
      </c>
      <c r="E702" s="185"/>
      <c r="F702" s="191" t="s">
        <v>332</v>
      </c>
      <c r="G702" s="185">
        <v>2</v>
      </c>
      <c r="H702" s="185">
        <v>2</v>
      </c>
      <c r="I702" s="186">
        <v>743.7</v>
      </c>
      <c r="J702" s="186">
        <v>550.15</v>
      </c>
      <c r="K702" s="186">
        <v>379.65</v>
      </c>
      <c r="L702" s="187">
        <v>21</v>
      </c>
      <c r="M702" s="185" t="s">
        <v>271</v>
      </c>
      <c r="N702" s="185" t="s">
        <v>275</v>
      </c>
      <c r="O702" s="188" t="s">
        <v>333</v>
      </c>
      <c r="P702" s="189">
        <v>3399322.55</v>
      </c>
      <c r="Q702" s="189">
        <v>0</v>
      </c>
      <c r="R702" s="189">
        <v>0</v>
      </c>
      <c r="S702" s="189">
        <f t="shared" si="109"/>
        <v>3399322.55</v>
      </c>
      <c r="T702" s="189">
        <f t="shared" si="93"/>
        <v>4570.8249966384292</v>
      </c>
      <c r="U702" s="189">
        <v>4570.8249966384292</v>
      </c>
      <c r="V702" s="170">
        <f t="shared" si="97"/>
        <v>0</v>
      </c>
      <c r="W702" s="170"/>
      <c r="X702" s="170"/>
      <c r="Y702" s="173">
        <f t="shared" si="98"/>
        <v>4353.2553448971357</v>
      </c>
      <c r="AA702" s="173">
        <f t="shared" si="107"/>
        <v>620</v>
      </c>
      <c r="AH702" s="173" t="e">
        <f t="shared" si="108"/>
        <v>#N/A</v>
      </c>
      <c r="AS702" s="173" t="e">
        <f t="shared" si="96"/>
        <v>#N/A</v>
      </c>
    </row>
    <row r="703" spans="1:45" s="173" customFormat="1" ht="36" customHeight="1" x14ac:dyDescent="0.9">
      <c r="A703" s="173">
        <v>1</v>
      </c>
      <c r="B703" s="91">
        <f>SUBTOTAL(103,$A$546:A703)</f>
        <v>156</v>
      </c>
      <c r="C703" s="90" t="s">
        <v>416</v>
      </c>
      <c r="D703" s="185">
        <v>1957</v>
      </c>
      <c r="E703" s="185"/>
      <c r="F703" s="191" t="s">
        <v>273</v>
      </c>
      <c r="G703" s="185">
        <v>2</v>
      </c>
      <c r="H703" s="185">
        <v>2</v>
      </c>
      <c r="I703" s="186">
        <v>706.7</v>
      </c>
      <c r="J703" s="186">
        <v>646.1</v>
      </c>
      <c r="K703" s="186">
        <v>646.1</v>
      </c>
      <c r="L703" s="187">
        <v>23</v>
      </c>
      <c r="M703" s="185" t="s">
        <v>271</v>
      </c>
      <c r="N703" s="185" t="s">
        <v>272</v>
      </c>
      <c r="O703" s="188" t="s">
        <v>274</v>
      </c>
      <c r="P703" s="189">
        <v>3553347.11</v>
      </c>
      <c r="Q703" s="189">
        <v>0</v>
      </c>
      <c r="R703" s="189">
        <v>0</v>
      </c>
      <c r="S703" s="189">
        <f t="shared" si="109"/>
        <v>3553347.11</v>
      </c>
      <c r="T703" s="189">
        <f t="shared" si="93"/>
        <v>5028.0842082920608</v>
      </c>
      <c r="U703" s="189">
        <v>5028.0842082920608</v>
      </c>
      <c r="V703" s="170">
        <f t="shared" si="97"/>
        <v>0</v>
      </c>
      <c r="W703" s="170"/>
      <c r="X703" s="170"/>
      <c r="Y703" s="173">
        <f t="shared" si="98"/>
        <v>4433.3946511956983</v>
      </c>
      <c r="AA703" s="173">
        <f t="shared" si="107"/>
        <v>600</v>
      </c>
      <c r="AH703" s="173" t="e">
        <f t="shared" si="108"/>
        <v>#N/A</v>
      </c>
      <c r="AS703" s="173" t="e">
        <f t="shared" si="96"/>
        <v>#N/A</v>
      </c>
    </row>
    <row r="704" spans="1:45" s="173" customFormat="1" ht="36" customHeight="1" x14ac:dyDescent="0.9">
      <c r="A704" s="173">
        <v>1</v>
      </c>
      <c r="B704" s="91">
        <f>SUBTOTAL(103,$A$546:A704)</f>
        <v>157</v>
      </c>
      <c r="C704" s="90" t="s">
        <v>203</v>
      </c>
      <c r="D704" s="193">
        <v>1966</v>
      </c>
      <c r="E704" s="185"/>
      <c r="F704" s="191" t="s">
        <v>273</v>
      </c>
      <c r="G704" s="185">
        <v>2</v>
      </c>
      <c r="H704" s="185">
        <v>1</v>
      </c>
      <c r="I704" s="186">
        <v>683.5</v>
      </c>
      <c r="J704" s="186">
        <v>634.5</v>
      </c>
      <c r="K704" s="186">
        <v>531.20000000000005</v>
      </c>
      <c r="L704" s="187">
        <v>28</v>
      </c>
      <c r="M704" s="185" t="s">
        <v>271</v>
      </c>
      <c r="N704" s="185" t="s">
        <v>275</v>
      </c>
      <c r="O704" s="188" t="s">
        <v>334</v>
      </c>
      <c r="P704" s="189">
        <v>686139</v>
      </c>
      <c r="Q704" s="189">
        <v>0</v>
      </c>
      <c r="R704" s="189">
        <v>0</v>
      </c>
      <c r="S704" s="189">
        <f t="shared" si="109"/>
        <v>686139</v>
      </c>
      <c r="T704" s="189">
        <f t="shared" si="93"/>
        <v>1003.8610095098757</v>
      </c>
      <c r="U704" s="189">
        <v>1003.8610095098757</v>
      </c>
      <c r="V704" s="170">
        <f t="shared" si="97"/>
        <v>0</v>
      </c>
      <c r="W704" s="170"/>
      <c r="X704" s="170"/>
      <c r="Y704" s="173" t="e">
        <f t="shared" si="98"/>
        <v>#N/A</v>
      </c>
      <c r="AA704" s="173" t="e">
        <f t="shared" si="107"/>
        <v>#N/A</v>
      </c>
      <c r="AH704" s="173" t="e">
        <f t="shared" si="108"/>
        <v>#N/A</v>
      </c>
      <c r="AS704" s="173" t="e">
        <f t="shared" si="96"/>
        <v>#N/A</v>
      </c>
    </row>
    <row r="705" spans="1:45" s="173" customFormat="1" ht="36" customHeight="1" x14ac:dyDescent="0.9">
      <c r="A705" s="173">
        <v>1</v>
      </c>
      <c r="B705" s="91">
        <f>SUBTOTAL(103,$A$546:A705)</f>
        <v>158</v>
      </c>
      <c r="C705" s="90" t="s">
        <v>204</v>
      </c>
      <c r="D705" s="193">
        <v>1974</v>
      </c>
      <c r="E705" s="185"/>
      <c r="F705" s="191" t="s">
        <v>273</v>
      </c>
      <c r="G705" s="185">
        <v>2</v>
      </c>
      <c r="H705" s="185">
        <v>2</v>
      </c>
      <c r="I705" s="186">
        <v>762</v>
      </c>
      <c r="J705" s="186">
        <v>702.6</v>
      </c>
      <c r="K705" s="186">
        <v>623.1</v>
      </c>
      <c r="L705" s="187">
        <v>48</v>
      </c>
      <c r="M705" s="185" t="s">
        <v>271</v>
      </c>
      <c r="N705" s="185" t="s">
        <v>275</v>
      </c>
      <c r="O705" s="188" t="s">
        <v>334</v>
      </c>
      <c r="P705" s="189">
        <v>783943</v>
      </c>
      <c r="Q705" s="189">
        <v>0</v>
      </c>
      <c r="R705" s="189">
        <v>0</v>
      </c>
      <c r="S705" s="189">
        <f t="shared" si="109"/>
        <v>783943</v>
      </c>
      <c r="T705" s="189">
        <f t="shared" si="93"/>
        <v>1028.7965879265091</v>
      </c>
      <c r="U705" s="189">
        <v>1028.7965879265091</v>
      </c>
      <c r="V705" s="170">
        <f t="shared" si="97"/>
        <v>0</v>
      </c>
      <c r="W705" s="170"/>
      <c r="X705" s="170"/>
      <c r="Y705" s="173" t="e">
        <f t="shared" si="98"/>
        <v>#N/A</v>
      </c>
      <c r="AA705" s="173" t="e">
        <f t="shared" si="107"/>
        <v>#N/A</v>
      </c>
      <c r="AH705" s="173" t="e">
        <f t="shared" si="108"/>
        <v>#N/A</v>
      </c>
      <c r="AS705" s="173" t="e">
        <f t="shared" si="96"/>
        <v>#N/A</v>
      </c>
    </row>
    <row r="706" spans="1:45" s="173" customFormat="1" ht="36" customHeight="1" x14ac:dyDescent="0.9">
      <c r="A706" s="173">
        <v>1</v>
      </c>
      <c r="B706" s="91">
        <f>SUBTOTAL(103,$A$546:A706)</f>
        <v>159</v>
      </c>
      <c r="C706" s="90" t="s">
        <v>205</v>
      </c>
      <c r="D706" s="185">
        <v>1973</v>
      </c>
      <c r="E706" s="185"/>
      <c r="F706" s="191" t="s">
        <v>273</v>
      </c>
      <c r="G706" s="185">
        <v>2</v>
      </c>
      <c r="H706" s="185">
        <v>2</v>
      </c>
      <c r="I706" s="186">
        <v>746.5</v>
      </c>
      <c r="J706" s="186">
        <v>687.5</v>
      </c>
      <c r="K706" s="186">
        <v>552</v>
      </c>
      <c r="L706" s="187">
        <v>48</v>
      </c>
      <c r="M706" s="185" t="s">
        <v>271</v>
      </c>
      <c r="N706" s="185" t="s">
        <v>275</v>
      </c>
      <c r="O706" s="188" t="s">
        <v>334</v>
      </c>
      <c r="P706" s="189">
        <v>776127.96</v>
      </c>
      <c r="Q706" s="189">
        <v>0</v>
      </c>
      <c r="R706" s="189">
        <v>0</v>
      </c>
      <c r="S706" s="189">
        <f t="shared" si="109"/>
        <v>776127.96</v>
      </c>
      <c r="T706" s="189">
        <f t="shared" si="93"/>
        <v>1039.6891627595444</v>
      </c>
      <c r="U706" s="189">
        <v>1039.6891627595444</v>
      </c>
      <c r="V706" s="170">
        <f t="shared" si="97"/>
        <v>0</v>
      </c>
      <c r="W706" s="170"/>
      <c r="X706" s="170"/>
      <c r="Y706" s="173" t="e">
        <f t="shared" si="98"/>
        <v>#N/A</v>
      </c>
      <c r="AA706" s="173" t="e">
        <f t="shared" si="107"/>
        <v>#N/A</v>
      </c>
      <c r="AH706" s="173" t="e">
        <f t="shared" si="108"/>
        <v>#N/A</v>
      </c>
      <c r="AS706" s="173" t="e">
        <f t="shared" si="96"/>
        <v>#N/A</v>
      </c>
    </row>
    <row r="707" spans="1:45" s="173" customFormat="1" ht="36" customHeight="1" x14ac:dyDescent="0.9">
      <c r="A707" s="173">
        <v>1</v>
      </c>
      <c r="B707" s="91">
        <f>SUBTOTAL(103,$A$546:A707)</f>
        <v>160</v>
      </c>
      <c r="C707" s="90" t="s">
        <v>417</v>
      </c>
      <c r="D707" s="185">
        <v>1960</v>
      </c>
      <c r="E707" s="185"/>
      <c r="F707" s="191" t="s">
        <v>273</v>
      </c>
      <c r="G707" s="185">
        <v>2</v>
      </c>
      <c r="H707" s="185">
        <v>2</v>
      </c>
      <c r="I707" s="186">
        <v>582.70000000000005</v>
      </c>
      <c r="J707" s="186">
        <v>535.70000000000005</v>
      </c>
      <c r="K707" s="186">
        <v>506.30000000000007</v>
      </c>
      <c r="L707" s="187">
        <v>28</v>
      </c>
      <c r="M707" s="185" t="s">
        <v>271</v>
      </c>
      <c r="N707" s="185" t="s">
        <v>275</v>
      </c>
      <c r="O707" s="188" t="s">
        <v>329</v>
      </c>
      <c r="P707" s="189">
        <v>2623352.2800000003</v>
      </c>
      <c r="Q707" s="189">
        <v>0</v>
      </c>
      <c r="R707" s="189">
        <v>0</v>
      </c>
      <c r="S707" s="189">
        <f t="shared" si="109"/>
        <v>2623352.2800000003</v>
      </c>
      <c r="T707" s="189">
        <f t="shared" si="93"/>
        <v>4502.0632915737087</v>
      </c>
      <c r="U707" s="189">
        <v>4502.0632915737087</v>
      </c>
      <c r="V707" s="170">
        <f t="shared" si="97"/>
        <v>0</v>
      </c>
      <c r="W707" s="170"/>
      <c r="X707" s="170"/>
      <c r="Y707" s="173">
        <f t="shared" si="98"/>
        <v>4274.5814312682342</v>
      </c>
      <c r="AA707" s="173">
        <f t="shared" si="107"/>
        <v>477</v>
      </c>
      <c r="AH707" s="173" t="e">
        <f t="shared" si="108"/>
        <v>#N/A</v>
      </c>
      <c r="AS707" s="173" t="e">
        <f t="shared" si="96"/>
        <v>#N/A</v>
      </c>
    </row>
    <row r="708" spans="1:45" s="173" customFormat="1" ht="36" customHeight="1" x14ac:dyDescent="0.9">
      <c r="A708" s="173">
        <v>1</v>
      </c>
      <c r="B708" s="91">
        <f>SUBTOTAL(103,$A$546:A708)</f>
        <v>161</v>
      </c>
      <c r="C708" s="90" t="s">
        <v>418</v>
      </c>
      <c r="D708" s="185">
        <v>1960</v>
      </c>
      <c r="E708" s="185"/>
      <c r="F708" s="191" t="s">
        <v>273</v>
      </c>
      <c r="G708" s="185">
        <v>2</v>
      </c>
      <c r="H708" s="185">
        <v>2</v>
      </c>
      <c r="I708" s="186">
        <v>592.20000000000005</v>
      </c>
      <c r="J708" s="186">
        <v>550.70000000000005</v>
      </c>
      <c r="K708" s="186">
        <v>444.6</v>
      </c>
      <c r="L708" s="187">
        <v>36</v>
      </c>
      <c r="M708" s="185" t="s">
        <v>271</v>
      </c>
      <c r="N708" s="185" t="s">
        <v>275</v>
      </c>
      <c r="O708" s="188" t="s">
        <v>336</v>
      </c>
      <c r="P708" s="189">
        <v>2633042.44</v>
      </c>
      <c r="Q708" s="189">
        <v>0</v>
      </c>
      <c r="R708" s="189">
        <v>0</v>
      </c>
      <c r="S708" s="189">
        <f t="shared" si="109"/>
        <v>2633042.44</v>
      </c>
      <c r="T708" s="189">
        <f t="shared" si="93"/>
        <v>4446.2047281323876</v>
      </c>
      <c r="U708" s="189">
        <v>4446.2047281323876</v>
      </c>
      <c r="V708" s="170">
        <f t="shared" si="97"/>
        <v>0</v>
      </c>
      <c r="W708" s="170"/>
      <c r="X708" s="170"/>
      <c r="Y708" s="173">
        <f t="shared" si="98"/>
        <v>4161.9209726443769</v>
      </c>
      <c r="AA708" s="173">
        <f t="shared" si="107"/>
        <v>472</v>
      </c>
      <c r="AH708" s="173" t="e">
        <f t="shared" si="108"/>
        <v>#N/A</v>
      </c>
      <c r="AS708" s="173" t="e">
        <f t="shared" si="96"/>
        <v>#N/A</v>
      </c>
    </row>
    <row r="709" spans="1:45" s="173" customFormat="1" ht="36" customHeight="1" x14ac:dyDescent="0.9">
      <c r="A709" s="173">
        <v>1</v>
      </c>
      <c r="B709" s="91">
        <f>SUBTOTAL(103,$A$546:A709)</f>
        <v>162</v>
      </c>
      <c r="C709" s="90" t="s">
        <v>419</v>
      </c>
      <c r="D709" s="185">
        <v>1950</v>
      </c>
      <c r="E709" s="185"/>
      <c r="F709" s="191" t="s">
        <v>273</v>
      </c>
      <c r="G709" s="185">
        <v>3</v>
      </c>
      <c r="H709" s="185">
        <v>2</v>
      </c>
      <c r="I709" s="186">
        <v>894.76</v>
      </c>
      <c r="J709" s="186">
        <v>604</v>
      </c>
      <c r="K709" s="186">
        <v>604</v>
      </c>
      <c r="L709" s="187">
        <v>19</v>
      </c>
      <c r="M709" s="185" t="s">
        <v>271</v>
      </c>
      <c r="N709" s="185" t="s">
        <v>275</v>
      </c>
      <c r="O709" s="188" t="s">
        <v>334</v>
      </c>
      <c r="P709" s="189">
        <v>2456912.8200000003</v>
      </c>
      <c r="Q709" s="189">
        <v>0</v>
      </c>
      <c r="R709" s="189">
        <v>0</v>
      </c>
      <c r="S709" s="189">
        <f t="shared" si="109"/>
        <v>2456912.8200000003</v>
      </c>
      <c r="T709" s="189">
        <f t="shared" si="93"/>
        <v>2745.8903169565028</v>
      </c>
      <c r="U709" s="189">
        <v>2745.8903169565028</v>
      </c>
      <c r="V709" s="170">
        <f t="shared" si="97"/>
        <v>0</v>
      </c>
      <c r="W709" s="170"/>
      <c r="X709" s="170"/>
      <c r="Y709" s="173">
        <f t="shared" si="98"/>
        <v>2737.0738522061783</v>
      </c>
      <c r="AA709" s="173">
        <f t="shared" si="107"/>
        <v>469</v>
      </c>
      <c r="AH709" s="173" t="e">
        <f t="shared" si="108"/>
        <v>#N/A</v>
      </c>
      <c r="AS709" s="173" t="e">
        <f t="shared" si="96"/>
        <v>#N/A</v>
      </c>
    </row>
    <row r="710" spans="1:45" s="173" customFormat="1" ht="36" customHeight="1" x14ac:dyDescent="0.9">
      <c r="A710" s="173">
        <v>1</v>
      </c>
      <c r="B710" s="91">
        <f>SUBTOTAL(103,$A$546:A710)</f>
        <v>163</v>
      </c>
      <c r="C710" s="90" t="s">
        <v>420</v>
      </c>
      <c r="D710" s="185">
        <v>1977</v>
      </c>
      <c r="E710" s="185"/>
      <c r="F710" s="191" t="s">
        <v>273</v>
      </c>
      <c r="G710" s="185">
        <v>9</v>
      </c>
      <c r="H710" s="185">
        <v>2</v>
      </c>
      <c r="I710" s="186">
        <v>4984</v>
      </c>
      <c r="J710" s="186">
        <v>3763.9</v>
      </c>
      <c r="K710" s="186">
        <v>3573.6</v>
      </c>
      <c r="L710" s="187">
        <v>172</v>
      </c>
      <c r="M710" s="185" t="s">
        <v>271</v>
      </c>
      <c r="N710" s="185" t="s">
        <v>275</v>
      </c>
      <c r="O710" s="188" t="s">
        <v>1016</v>
      </c>
      <c r="P710" s="189">
        <v>3762569.57</v>
      </c>
      <c r="Q710" s="189">
        <v>0</v>
      </c>
      <c r="R710" s="189">
        <v>0</v>
      </c>
      <c r="S710" s="189">
        <f t="shared" si="109"/>
        <v>3762569.57</v>
      </c>
      <c r="T710" s="189">
        <f t="shared" si="93"/>
        <v>754.92968900481537</v>
      </c>
      <c r="U710" s="189">
        <f t="shared" ref="U710:U715" si="110">Y710</f>
        <v>1376.6944622792937</v>
      </c>
      <c r="V710" s="170">
        <f t="shared" si="97"/>
        <v>621.76477327447833</v>
      </c>
      <c r="W710" s="170"/>
      <c r="X710" s="170"/>
      <c r="Y710" s="173">
        <f t="shared" si="98"/>
        <v>1376.6944622792937</v>
      </c>
      <c r="AA710" s="173">
        <f t="shared" si="107"/>
        <v>1314</v>
      </c>
      <c r="AH710" s="173" t="e">
        <f t="shared" si="108"/>
        <v>#N/A</v>
      </c>
      <c r="AS710" s="173" t="e">
        <f t="shared" si="96"/>
        <v>#N/A</v>
      </c>
    </row>
    <row r="711" spans="1:45" s="173" customFormat="1" ht="36" customHeight="1" x14ac:dyDescent="0.9">
      <c r="A711" s="173">
        <v>1</v>
      </c>
      <c r="B711" s="91">
        <f>SUBTOTAL(103,$A$546:A711)</f>
        <v>164</v>
      </c>
      <c r="C711" s="90" t="s">
        <v>421</v>
      </c>
      <c r="D711" s="185">
        <v>1961</v>
      </c>
      <c r="E711" s="185"/>
      <c r="F711" s="191" t="s">
        <v>273</v>
      </c>
      <c r="G711" s="185">
        <v>4</v>
      </c>
      <c r="H711" s="185">
        <v>2</v>
      </c>
      <c r="I711" s="186">
        <v>2700.93</v>
      </c>
      <c r="J711" s="186">
        <v>2360.79</v>
      </c>
      <c r="K711" s="186">
        <v>2305.5700000000002</v>
      </c>
      <c r="L711" s="187">
        <v>85</v>
      </c>
      <c r="M711" s="185" t="s">
        <v>271</v>
      </c>
      <c r="N711" s="185" t="s">
        <v>275</v>
      </c>
      <c r="O711" s="188" t="s">
        <v>329</v>
      </c>
      <c r="P711" s="189">
        <v>5669999.9900000002</v>
      </c>
      <c r="Q711" s="189">
        <v>0</v>
      </c>
      <c r="R711" s="189">
        <v>0</v>
      </c>
      <c r="S711" s="189">
        <f t="shared" si="109"/>
        <v>5669999.9900000002</v>
      </c>
      <c r="T711" s="189">
        <f t="shared" si="93"/>
        <v>2099.2769120265984</v>
      </c>
      <c r="U711" s="189">
        <f t="shared" si="110"/>
        <v>2192.4008397107664</v>
      </c>
      <c r="V711" s="170">
        <f t="shared" si="97"/>
        <v>93.123927684167938</v>
      </c>
      <c r="W711" s="170"/>
      <c r="X711" s="170"/>
      <c r="Y711" s="173">
        <f t="shared" si="98"/>
        <v>2192.4008397107664</v>
      </c>
      <c r="AA711" s="173">
        <f t="shared" si="107"/>
        <v>1134</v>
      </c>
      <c r="AH711" s="173" t="e">
        <f t="shared" si="108"/>
        <v>#N/A</v>
      </c>
      <c r="AS711" s="173" t="e">
        <f t="shared" si="96"/>
        <v>#N/A</v>
      </c>
    </row>
    <row r="712" spans="1:45" s="173" customFormat="1" ht="36" customHeight="1" x14ac:dyDescent="0.9">
      <c r="A712" s="173">
        <v>1</v>
      </c>
      <c r="B712" s="91">
        <f>SUBTOTAL(103,$A$546:A712)</f>
        <v>165</v>
      </c>
      <c r="C712" s="90" t="s">
        <v>422</v>
      </c>
      <c r="D712" s="185">
        <v>1963</v>
      </c>
      <c r="E712" s="185"/>
      <c r="F712" s="191" t="s">
        <v>273</v>
      </c>
      <c r="G712" s="185">
        <v>4</v>
      </c>
      <c r="H712" s="185">
        <v>2</v>
      </c>
      <c r="I712" s="186">
        <v>1374.8</v>
      </c>
      <c r="J712" s="186">
        <v>1010.2</v>
      </c>
      <c r="K712" s="186">
        <v>1010.2</v>
      </c>
      <c r="L712" s="187">
        <v>43</v>
      </c>
      <c r="M712" s="185" t="s">
        <v>271</v>
      </c>
      <c r="N712" s="185" t="s">
        <v>275</v>
      </c>
      <c r="O712" s="188" t="s">
        <v>329</v>
      </c>
      <c r="P712" s="189">
        <v>2895000</v>
      </c>
      <c r="Q712" s="189">
        <v>0</v>
      </c>
      <c r="R712" s="189">
        <v>0</v>
      </c>
      <c r="S712" s="189">
        <f t="shared" si="109"/>
        <v>2895000</v>
      </c>
      <c r="T712" s="189">
        <f t="shared" si="93"/>
        <v>2105.760837940064</v>
      </c>
      <c r="U712" s="189">
        <f t="shared" si="110"/>
        <v>2199.1723887110857</v>
      </c>
      <c r="V712" s="170">
        <f t="shared" si="97"/>
        <v>93.411550771021666</v>
      </c>
      <c r="W712" s="170"/>
      <c r="X712" s="170"/>
      <c r="Y712" s="173">
        <f t="shared" si="98"/>
        <v>2199.1723887110857</v>
      </c>
      <c r="AA712" s="173">
        <f t="shared" si="107"/>
        <v>579</v>
      </c>
      <c r="AH712" s="173" t="e">
        <f t="shared" si="108"/>
        <v>#N/A</v>
      </c>
      <c r="AS712" s="173" t="e">
        <f t="shared" si="96"/>
        <v>#N/A</v>
      </c>
    </row>
    <row r="713" spans="1:45" s="173" customFormat="1" ht="36" customHeight="1" x14ac:dyDescent="0.9">
      <c r="A713" s="173">
        <v>1</v>
      </c>
      <c r="B713" s="91">
        <f>SUBTOTAL(103,$A$546:A713)</f>
        <v>166</v>
      </c>
      <c r="C713" s="90" t="s">
        <v>423</v>
      </c>
      <c r="D713" s="185">
        <v>1958</v>
      </c>
      <c r="E713" s="185"/>
      <c r="F713" s="191" t="s">
        <v>273</v>
      </c>
      <c r="G713" s="185">
        <v>2</v>
      </c>
      <c r="H713" s="185">
        <v>2</v>
      </c>
      <c r="I713" s="186">
        <v>653.70000000000005</v>
      </c>
      <c r="J713" s="186">
        <v>606</v>
      </c>
      <c r="K713" s="186">
        <v>538.1</v>
      </c>
      <c r="L713" s="187">
        <v>27</v>
      </c>
      <c r="M713" s="185" t="s">
        <v>271</v>
      </c>
      <c r="N713" s="185" t="s">
        <v>275</v>
      </c>
      <c r="O713" s="188" t="s">
        <v>333</v>
      </c>
      <c r="P713" s="189">
        <v>3066649.62</v>
      </c>
      <c r="Q713" s="189">
        <v>0</v>
      </c>
      <c r="R713" s="189">
        <v>0</v>
      </c>
      <c r="S713" s="189">
        <f t="shared" si="109"/>
        <v>3066649.62</v>
      </c>
      <c r="T713" s="189">
        <f t="shared" si="93"/>
        <v>4691.2186324001832</v>
      </c>
      <c r="U713" s="189">
        <v>4691.2186324001832</v>
      </c>
      <c r="V713" s="170">
        <f t="shared" si="97"/>
        <v>0</v>
      </c>
      <c r="W713" s="170"/>
      <c r="X713" s="170"/>
      <c r="Y713" s="173">
        <f t="shared" si="98"/>
        <v>4553.1987150068835</v>
      </c>
      <c r="AA713" s="173">
        <f t="shared" si="107"/>
        <v>570</v>
      </c>
      <c r="AH713" s="173" t="e">
        <f t="shared" si="108"/>
        <v>#N/A</v>
      </c>
      <c r="AS713" s="173" t="e">
        <f t="shared" si="96"/>
        <v>#N/A</v>
      </c>
    </row>
    <row r="714" spans="1:45" s="173" customFormat="1" ht="36" customHeight="1" x14ac:dyDescent="0.9">
      <c r="A714" s="173">
        <v>1</v>
      </c>
      <c r="B714" s="91">
        <f>SUBTOTAL(103,$A$546:A714)</f>
        <v>167</v>
      </c>
      <c r="C714" s="90" t="s">
        <v>424</v>
      </c>
      <c r="D714" s="185">
        <v>1961</v>
      </c>
      <c r="E714" s="185"/>
      <c r="F714" s="191" t="s">
        <v>273</v>
      </c>
      <c r="G714" s="185">
        <v>2</v>
      </c>
      <c r="H714" s="185">
        <v>1</v>
      </c>
      <c r="I714" s="186">
        <v>291.64999999999998</v>
      </c>
      <c r="J714" s="186">
        <v>275.13</v>
      </c>
      <c r="K714" s="186">
        <v>135.19999999999999</v>
      </c>
      <c r="L714" s="187">
        <v>18</v>
      </c>
      <c r="M714" s="185" t="s">
        <v>271</v>
      </c>
      <c r="N714" s="185" t="s">
        <v>272</v>
      </c>
      <c r="O714" s="188" t="s">
        <v>274</v>
      </c>
      <c r="P714" s="189">
        <v>1488737.43</v>
      </c>
      <c r="Q714" s="189">
        <v>0</v>
      </c>
      <c r="R714" s="189">
        <v>0</v>
      </c>
      <c r="S714" s="189">
        <f t="shared" si="109"/>
        <v>1488737.43</v>
      </c>
      <c r="T714" s="189">
        <f t="shared" si="93"/>
        <v>5104.5343048174182</v>
      </c>
      <c r="U714" s="189">
        <f t="shared" si="110"/>
        <v>5765.1966398079894</v>
      </c>
      <c r="V714" s="170">
        <f t="shared" si="97"/>
        <v>660.66233499057125</v>
      </c>
      <c r="W714" s="170"/>
      <c r="X714" s="170"/>
      <c r="Y714" s="173">
        <f t="shared" si="98"/>
        <v>5765.1966398079894</v>
      </c>
      <c r="AA714" s="173">
        <f t="shared" si="107"/>
        <v>322</v>
      </c>
      <c r="AH714" s="173" t="e">
        <f t="shared" si="108"/>
        <v>#N/A</v>
      </c>
      <c r="AS714" s="173" t="e">
        <f t="shared" si="96"/>
        <v>#N/A</v>
      </c>
    </row>
    <row r="715" spans="1:45" s="173" customFormat="1" ht="36" customHeight="1" x14ac:dyDescent="0.9">
      <c r="A715" s="173">
        <v>1</v>
      </c>
      <c r="B715" s="91">
        <f>SUBTOTAL(103,$A$546:A715)</f>
        <v>168</v>
      </c>
      <c r="C715" s="90" t="s">
        <v>425</v>
      </c>
      <c r="D715" s="185">
        <v>1971</v>
      </c>
      <c r="E715" s="185"/>
      <c r="F715" s="191" t="s">
        <v>273</v>
      </c>
      <c r="G715" s="185">
        <v>5</v>
      </c>
      <c r="H715" s="185">
        <v>6</v>
      </c>
      <c r="I715" s="186">
        <v>5077.5</v>
      </c>
      <c r="J715" s="186">
        <v>3712.4</v>
      </c>
      <c r="K715" s="186">
        <v>1549.0700000000002</v>
      </c>
      <c r="L715" s="187">
        <v>164</v>
      </c>
      <c r="M715" s="185" t="s">
        <v>271</v>
      </c>
      <c r="N715" s="185" t="s">
        <v>275</v>
      </c>
      <c r="O715" s="188" t="s">
        <v>336</v>
      </c>
      <c r="P715" s="189">
        <v>8150000</v>
      </c>
      <c r="Q715" s="189">
        <v>0</v>
      </c>
      <c r="R715" s="189">
        <v>0</v>
      </c>
      <c r="S715" s="189">
        <f t="shared" si="109"/>
        <v>8150000</v>
      </c>
      <c r="T715" s="189">
        <f t="shared" si="93"/>
        <v>1605.1206302314131</v>
      </c>
      <c r="U715" s="189">
        <f t="shared" si="110"/>
        <v>1676.3237813884787</v>
      </c>
      <c r="V715" s="170">
        <f t="shared" si="97"/>
        <v>71.203151157065577</v>
      </c>
      <c r="W715" s="170"/>
      <c r="X715" s="170"/>
      <c r="Y715" s="173">
        <f t="shared" si="98"/>
        <v>1676.3237813884787</v>
      </c>
      <c r="AA715" s="173">
        <f t="shared" si="107"/>
        <v>1630</v>
      </c>
      <c r="AH715" s="173" t="e">
        <f t="shared" si="108"/>
        <v>#N/A</v>
      </c>
      <c r="AS715" s="173" t="e">
        <f t="shared" si="96"/>
        <v>#N/A</v>
      </c>
    </row>
    <row r="716" spans="1:45" s="173" customFormat="1" ht="36" customHeight="1" x14ac:dyDescent="0.9">
      <c r="A716" s="173">
        <v>1</v>
      </c>
      <c r="B716" s="91">
        <f>SUBTOTAL(103,$A$546:A716)</f>
        <v>169</v>
      </c>
      <c r="C716" s="90" t="s">
        <v>426</v>
      </c>
      <c r="D716" s="185">
        <v>1973</v>
      </c>
      <c r="E716" s="185"/>
      <c r="F716" s="191" t="s">
        <v>332</v>
      </c>
      <c r="G716" s="185">
        <v>2</v>
      </c>
      <c r="H716" s="185">
        <v>2</v>
      </c>
      <c r="I716" s="186">
        <v>816.6</v>
      </c>
      <c r="J716" s="186">
        <v>537.5</v>
      </c>
      <c r="K716" s="186">
        <v>202.60000000000002</v>
      </c>
      <c r="L716" s="187">
        <v>29</v>
      </c>
      <c r="M716" s="185" t="s">
        <v>271</v>
      </c>
      <c r="N716" s="185" t="s">
        <v>275</v>
      </c>
      <c r="O716" s="188" t="s">
        <v>333</v>
      </c>
      <c r="P716" s="189">
        <v>2837751.8</v>
      </c>
      <c r="Q716" s="189">
        <v>0</v>
      </c>
      <c r="R716" s="189">
        <v>0</v>
      </c>
      <c r="S716" s="189">
        <f t="shared" si="109"/>
        <v>2837751.8</v>
      </c>
      <c r="T716" s="189">
        <f t="shared" si="93"/>
        <v>3475.0818025961298</v>
      </c>
      <c r="U716" s="189">
        <v>3475.0818025961298</v>
      </c>
      <c r="V716" s="170">
        <f t="shared" si="97"/>
        <v>0</v>
      </c>
      <c r="W716" s="170"/>
      <c r="X716" s="170"/>
      <c r="Y716" s="173">
        <f t="shared" si="98"/>
        <v>3197.2814107274062</v>
      </c>
      <c r="AA716" s="173">
        <f t="shared" si="107"/>
        <v>500</v>
      </c>
      <c r="AH716" s="173" t="e">
        <f t="shared" si="108"/>
        <v>#N/A</v>
      </c>
      <c r="AS716" s="173" t="e">
        <f t="shared" si="96"/>
        <v>#N/A</v>
      </c>
    </row>
    <row r="717" spans="1:45" s="173" customFormat="1" ht="36" customHeight="1" x14ac:dyDescent="0.9">
      <c r="A717" s="173">
        <v>1</v>
      </c>
      <c r="B717" s="91">
        <f>SUBTOTAL(103,$A$546:A717)</f>
        <v>170</v>
      </c>
      <c r="C717" s="90" t="s">
        <v>427</v>
      </c>
      <c r="D717" s="185">
        <v>1954</v>
      </c>
      <c r="E717" s="185"/>
      <c r="F717" s="191" t="s">
        <v>332</v>
      </c>
      <c r="G717" s="185">
        <v>2</v>
      </c>
      <c r="H717" s="185">
        <v>2</v>
      </c>
      <c r="I717" s="186">
        <v>441</v>
      </c>
      <c r="J717" s="186">
        <v>399.8</v>
      </c>
      <c r="K717" s="186">
        <v>310.20000000000005</v>
      </c>
      <c r="L717" s="187">
        <v>28</v>
      </c>
      <c r="M717" s="185" t="s">
        <v>271</v>
      </c>
      <c r="N717" s="185" t="s">
        <v>275</v>
      </c>
      <c r="O717" s="188" t="s">
        <v>333</v>
      </c>
      <c r="P717" s="189">
        <v>2479122.38</v>
      </c>
      <c r="Q717" s="189">
        <v>0</v>
      </c>
      <c r="R717" s="189">
        <v>0</v>
      </c>
      <c r="S717" s="189">
        <f t="shared" si="109"/>
        <v>2479122.38</v>
      </c>
      <c r="T717" s="189">
        <f t="shared" si="93"/>
        <v>5621.5926984126982</v>
      </c>
      <c r="U717" s="189">
        <v>5621.5926984126982</v>
      </c>
      <c r="V717" s="170">
        <f t="shared" si="97"/>
        <v>0</v>
      </c>
      <c r="W717" s="170"/>
      <c r="X717" s="170"/>
      <c r="Y717" s="173">
        <f t="shared" si="98"/>
        <v>4973.1428571428569</v>
      </c>
      <c r="AA717" s="173">
        <f t="shared" si="107"/>
        <v>420</v>
      </c>
      <c r="AH717" s="173" t="e">
        <f t="shared" si="108"/>
        <v>#N/A</v>
      </c>
      <c r="AS717" s="173" t="e">
        <f t="shared" si="96"/>
        <v>#N/A</v>
      </c>
    </row>
    <row r="718" spans="1:45" s="173" customFormat="1" ht="36" customHeight="1" x14ac:dyDescent="0.9">
      <c r="A718" s="173">
        <v>1</v>
      </c>
      <c r="B718" s="91">
        <f>SUBTOTAL(103,$A$546:A718)</f>
        <v>171</v>
      </c>
      <c r="C718" s="90" t="s">
        <v>206</v>
      </c>
      <c r="D718" s="185">
        <v>1980</v>
      </c>
      <c r="E718" s="185"/>
      <c r="F718" s="191" t="s">
        <v>273</v>
      </c>
      <c r="G718" s="185">
        <v>2</v>
      </c>
      <c r="H718" s="185">
        <v>3</v>
      </c>
      <c r="I718" s="186">
        <v>962.21999999999991</v>
      </c>
      <c r="J718" s="186">
        <v>875.92</v>
      </c>
      <c r="K718" s="186">
        <v>831.42</v>
      </c>
      <c r="L718" s="187">
        <v>32</v>
      </c>
      <c r="M718" s="185" t="s">
        <v>271</v>
      </c>
      <c r="N718" s="185" t="s">
        <v>275</v>
      </c>
      <c r="O718" s="188" t="s">
        <v>335</v>
      </c>
      <c r="P718" s="189">
        <v>3697950</v>
      </c>
      <c r="Q718" s="189">
        <v>0</v>
      </c>
      <c r="R718" s="189">
        <v>0</v>
      </c>
      <c r="S718" s="189">
        <f t="shared" si="109"/>
        <v>3697950</v>
      </c>
      <c r="T718" s="189">
        <f t="shared" si="93"/>
        <v>3843.143979547297</v>
      </c>
      <c r="U718" s="189">
        <f>T718</f>
        <v>3843.143979547297</v>
      </c>
      <c r="V718" s="170">
        <f t="shared" si="97"/>
        <v>0</v>
      </c>
      <c r="W718" s="170"/>
      <c r="X718" s="170"/>
      <c r="Y718" s="173">
        <f t="shared" si="98"/>
        <v>3798.7778262767356</v>
      </c>
      <c r="AA718" s="173">
        <f t="shared" si="107"/>
        <v>700</v>
      </c>
      <c r="AH718" s="173" t="e">
        <f t="shared" si="108"/>
        <v>#N/A</v>
      </c>
      <c r="AS718" s="173" t="e">
        <f t="shared" si="96"/>
        <v>#N/A</v>
      </c>
    </row>
    <row r="719" spans="1:45" s="173" customFormat="1" ht="36" customHeight="1" x14ac:dyDescent="0.9">
      <c r="A719" s="173">
        <v>1</v>
      </c>
      <c r="B719" s="91">
        <f>SUBTOTAL(103,$A$546:A719)</f>
        <v>172</v>
      </c>
      <c r="C719" s="90" t="s">
        <v>208</v>
      </c>
      <c r="D719" s="185">
        <v>1981</v>
      </c>
      <c r="E719" s="185"/>
      <c r="F719" s="191" t="s">
        <v>273</v>
      </c>
      <c r="G719" s="185">
        <v>2</v>
      </c>
      <c r="H719" s="185">
        <v>3</v>
      </c>
      <c r="I719" s="186">
        <v>955.1</v>
      </c>
      <c r="J719" s="186">
        <v>865.5</v>
      </c>
      <c r="K719" s="186">
        <v>865.5</v>
      </c>
      <c r="L719" s="187">
        <v>47</v>
      </c>
      <c r="M719" s="185" t="s">
        <v>271</v>
      </c>
      <c r="N719" s="185" t="s">
        <v>275</v>
      </c>
      <c r="O719" s="188" t="s">
        <v>335</v>
      </c>
      <c r="P719" s="189">
        <v>3680000</v>
      </c>
      <c r="Q719" s="189">
        <v>0</v>
      </c>
      <c r="R719" s="189">
        <v>0</v>
      </c>
      <c r="S719" s="189">
        <f t="shared" si="109"/>
        <v>3680000</v>
      </c>
      <c r="T719" s="189">
        <f t="shared" ref="T719:T782" si="111">P719/I719</f>
        <v>3852.9996858967647</v>
      </c>
      <c r="U719" s="189">
        <f>T719</f>
        <v>3852.9996858967647</v>
      </c>
      <c r="V719" s="170">
        <f t="shared" si="97"/>
        <v>0</v>
      </c>
      <c r="W719" s="170"/>
      <c r="X719" s="170"/>
      <c r="Y719" s="173">
        <f t="shared" si="98"/>
        <v>3799.7602345304153</v>
      </c>
      <c r="AA719" s="173">
        <f t="shared" si="107"/>
        <v>695</v>
      </c>
      <c r="AH719" s="173" t="e">
        <f t="shared" si="108"/>
        <v>#N/A</v>
      </c>
      <c r="AS719" s="173" t="e">
        <f t="shared" si="96"/>
        <v>#N/A</v>
      </c>
    </row>
    <row r="720" spans="1:45" s="173" customFormat="1" ht="36" customHeight="1" x14ac:dyDescent="0.9">
      <c r="A720" s="173">
        <v>1</v>
      </c>
      <c r="B720" s="91">
        <f>SUBTOTAL(103,$A$546:A720)</f>
        <v>173</v>
      </c>
      <c r="C720" s="90" t="s">
        <v>207</v>
      </c>
      <c r="D720" s="185">
        <v>1987</v>
      </c>
      <c r="E720" s="185"/>
      <c r="F720" s="191" t="s">
        <v>273</v>
      </c>
      <c r="G720" s="185">
        <v>2</v>
      </c>
      <c r="H720" s="185">
        <v>3</v>
      </c>
      <c r="I720" s="186">
        <v>946.6</v>
      </c>
      <c r="J720" s="186">
        <v>861.5</v>
      </c>
      <c r="K720" s="186">
        <v>797.6</v>
      </c>
      <c r="L720" s="187">
        <v>47</v>
      </c>
      <c r="M720" s="185" t="s">
        <v>271</v>
      </c>
      <c r="N720" s="185" t="s">
        <v>275</v>
      </c>
      <c r="O720" s="188" t="s">
        <v>335</v>
      </c>
      <c r="P720" s="189">
        <v>3519757</v>
      </c>
      <c r="Q720" s="189">
        <v>0</v>
      </c>
      <c r="R720" s="189">
        <v>0</v>
      </c>
      <c r="S720" s="189">
        <f t="shared" si="109"/>
        <v>3519757</v>
      </c>
      <c r="T720" s="189">
        <f t="shared" si="111"/>
        <v>3718.3150221846608</v>
      </c>
      <c r="U720" s="189">
        <f>T720</f>
        <v>3718.3150221846608</v>
      </c>
      <c r="V720" s="170">
        <f t="shared" si="97"/>
        <v>0</v>
      </c>
      <c r="W720" s="170"/>
      <c r="X720" s="170"/>
      <c r="Y720" s="173">
        <f t="shared" si="98"/>
        <v>3673.9053454468626</v>
      </c>
      <c r="AA720" s="173">
        <f t="shared" si="107"/>
        <v>666</v>
      </c>
      <c r="AH720" s="173" t="e">
        <f t="shared" si="108"/>
        <v>#N/A</v>
      </c>
      <c r="AS720" s="173" t="e">
        <f t="shared" ref="AS720:AS729" si="112">VLOOKUP(C720,AU:AV,2,FALSE)</f>
        <v>#N/A</v>
      </c>
    </row>
    <row r="721" spans="1:45" s="173" customFormat="1" ht="36" customHeight="1" x14ac:dyDescent="0.9">
      <c r="A721" s="173">
        <v>1</v>
      </c>
      <c r="B721" s="91">
        <f>SUBTOTAL(103,$A$546:A721)</f>
        <v>174</v>
      </c>
      <c r="C721" s="90" t="s">
        <v>428</v>
      </c>
      <c r="D721" s="185">
        <v>1987</v>
      </c>
      <c r="E721" s="185"/>
      <c r="F721" s="191" t="s">
        <v>273</v>
      </c>
      <c r="G721" s="185">
        <v>5</v>
      </c>
      <c r="H721" s="185">
        <v>4</v>
      </c>
      <c r="I721" s="186">
        <v>2928.1</v>
      </c>
      <c r="J721" s="186">
        <v>2613.6</v>
      </c>
      <c r="K721" s="186">
        <v>2388.9</v>
      </c>
      <c r="L721" s="187">
        <v>106</v>
      </c>
      <c r="M721" s="185" t="s">
        <v>271</v>
      </c>
      <c r="N721" s="185" t="s">
        <v>275</v>
      </c>
      <c r="O721" s="188" t="s">
        <v>334</v>
      </c>
      <c r="P721" s="189">
        <v>4335791.2699999996</v>
      </c>
      <c r="Q721" s="189">
        <v>0</v>
      </c>
      <c r="R721" s="189">
        <v>0</v>
      </c>
      <c r="S721" s="189">
        <f t="shared" si="109"/>
        <v>4335791.2699999996</v>
      </c>
      <c r="T721" s="189">
        <f t="shared" si="111"/>
        <v>1480.7524572248215</v>
      </c>
      <c r="U721" s="189">
        <v>1480.7524572248215</v>
      </c>
      <c r="V721" s="170">
        <f t="shared" si="97"/>
        <v>0</v>
      </c>
      <c r="W721" s="170"/>
      <c r="X721" s="170"/>
      <c r="Y721" s="173">
        <f t="shared" si="98"/>
        <v>1471.256104641235</v>
      </c>
      <c r="AA721" s="173">
        <f t="shared" si="107"/>
        <v>825</v>
      </c>
      <c r="AH721" s="173" t="e">
        <f t="shared" si="108"/>
        <v>#N/A</v>
      </c>
      <c r="AS721" s="173" t="e">
        <f t="shared" si="112"/>
        <v>#N/A</v>
      </c>
    </row>
    <row r="722" spans="1:45" s="173" customFormat="1" ht="36" customHeight="1" x14ac:dyDescent="0.9">
      <c r="A722" s="173">
        <v>1</v>
      </c>
      <c r="B722" s="91">
        <f>SUBTOTAL(103,$A$546:A722)</f>
        <v>175</v>
      </c>
      <c r="C722" s="90" t="s">
        <v>429</v>
      </c>
      <c r="D722" s="185">
        <v>1846</v>
      </c>
      <c r="E722" s="185"/>
      <c r="F722" s="191" t="s">
        <v>273</v>
      </c>
      <c r="G722" s="185">
        <v>2</v>
      </c>
      <c r="H722" s="185">
        <v>1</v>
      </c>
      <c r="I722" s="186">
        <v>378.89</v>
      </c>
      <c r="J722" s="186">
        <v>325.39999999999998</v>
      </c>
      <c r="K722" s="186">
        <v>325.39999999999998</v>
      </c>
      <c r="L722" s="187">
        <v>17</v>
      </c>
      <c r="M722" s="185" t="s">
        <v>271</v>
      </c>
      <c r="N722" s="185" t="s">
        <v>272</v>
      </c>
      <c r="O722" s="188" t="s">
        <v>274</v>
      </c>
      <c r="P722" s="189">
        <v>2345314.9499999997</v>
      </c>
      <c r="Q722" s="189">
        <v>0</v>
      </c>
      <c r="R722" s="189">
        <v>0</v>
      </c>
      <c r="S722" s="189">
        <f t="shared" si="109"/>
        <v>2345314.9499999997</v>
      </c>
      <c r="T722" s="189">
        <f t="shared" si="111"/>
        <v>6189.9626540684631</v>
      </c>
      <c r="U722" s="189">
        <f>T722</f>
        <v>6189.9626540684631</v>
      </c>
      <c r="V722" s="170">
        <f t="shared" si="97"/>
        <v>0</v>
      </c>
      <c r="W722" s="170"/>
      <c r="X722" s="170"/>
      <c r="Y722" s="173">
        <f t="shared" si="98"/>
        <v>5030.3702921692311</v>
      </c>
      <c r="AA722" s="173">
        <f t="shared" si="107"/>
        <v>365</v>
      </c>
      <c r="AH722" s="173" t="e">
        <f t="shared" si="108"/>
        <v>#N/A</v>
      </c>
      <c r="AS722" s="173" t="e">
        <f t="shared" si="112"/>
        <v>#N/A</v>
      </c>
    </row>
    <row r="723" spans="1:45" s="173" customFormat="1" ht="36" customHeight="1" x14ac:dyDescent="0.9">
      <c r="A723" s="173">
        <v>1</v>
      </c>
      <c r="B723" s="91">
        <f>SUBTOTAL(103,$A$546:A723)</f>
        <v>176</v>
      </c>
      <c r="C723" s="90" t="s">
        <v>430</v>
      </c>
      <c r="D723" s="185">
        <v>1964</v>
      </c>
      <c r="E723" s="185"/>
      <c r="F723" s="191" t="s">
        <v>273</v>
      </c>
      <c r="G723" s="185">
        <v>3</v>
      </c>
      <c r="H723" s="185">
        <v>2</v>
      </c>
      <c r="I723" s="186">
        <v>1192.79</v>
      </c>
      <c r="J723" s="186">
        <v>1161.32</v>
      </c>
      <c r="K723" s="186">
        <v>1130.3599999999999</v>
      </c>
      <c r="L723" s="187">
        <v>54</v>
      </c>
      <c r="M723" s="185" t="s">
        <v>271</v>
      </c>
      <c r="N723" s="185" t="s">
        <v>275</v>
      </c>
      <c r="O723" s="188" t="s">
        <v>330</v>
      </c>
      <c r="P723" s="189">
        <v>4900000</v>
      </c>
      <c r="Q723" s="189">
        <v>0</v>
      </c>
      <c r="R723" s="189">
        <v>0</v>
      </c>
      <c r="S723" s="189">
        <f t="shared" si="109"/>
        <v>4900000</v>
      </c>
      <c r="T723" s="189">
        <f t="shared" si="111"/>
        <v>4108.0156607617437</v>
      </c>
      <c r="U723" s="189">
        <f>AG723</f>
        <v>5048.6552199221569</v>
      </c>
      <c r="V723" s="170">
        <f t="shared" si="97"/>
        <v>940.63955916041323</v>
      </c>
      <c r="W723" s="170"/>
      <c r="X723" s="170"/>
      <c r="Y723" s="173" t="e">
        <f t="shared" si="98"/>
        <v>#N/A</v>
      </c>
      <c r="AA723" s="173" t="e">
        <f t="shared" si="107"/>
        <v>#N/A</v>
      </c>
      <c r="AG723" s="173">
        <f>AH723*6191.24/J723</f>
        <v>5048.6552199221569</v>
      </c>
      <c r="AH723" s="173">
        <f t="shared" si="108"/>
        <v>947</v>
      </c>
      <c r="AS723" s="173" t="e">
        <f t="shared" si="112"/>
        <v>#N/A</v>
      </c>
    </row>
    <row r="724" spans="1:45" s="173" customFormat="1" ht="36" customHeight="1" x14ac:dyDescent="0.9">
      <c r="A724" s="173">
        <v>1</v>
      </c>
      <c r="B724" s="91">
        <f>SUBTOTAL(103,$A$546:A724)</f>
        <v>177</v>
      </c>
      <c r="C724" s="90" t="s">
        <v>431</v>
      </c>
      <c r="D724" s="185">
        <v>1941</v>
      </c>
      <c r="E724" s="185"/>
      <c r="F724" s="191" t="s">
        <v>273</v>
      </c>
      <c r="G724" s="185">
        <v>2</v>
      </c>
      <c r="H724" s="185">
        <v>2</v>
      </c>
      <c r="I724" s="186">
        <v>858.1</v>
      </c>
      <c r="J724" s="186">
        <v>655.20000000000005</v>
      </c>
      <c r="K724" s="186">
        <v>655.20000000000005</v>
      </c>
      <c r="L724" s="187">
        <v>20</v>
      </c>
      <c r="M724" s="185" t="s">
        <v>271</v>
      </c>
      <c r="N724" s="185" t="s">
        <v>275</v>
      </c>
      <c r="O724" s="188" t="s">
        <v>333</v>
      </c>
      <c r="P724" s="189">
        <v>3393815.22</v>
      </c>
      <c r="Q724" s="189">
        <v>0</v>
      </c>
      <c r="R724" s="189">
        <v>0</v>
      </c>
      <c r="S724" s="189">
        <f t="shared" si="109"/>
        <v>3393815.22</v>
      </c>
      <c r="T724" s="189">
        <f t="shared" si="111"/>
        <v>3955.0346346579654</v>
      </c>
      <c r="U724" s="189">
        <v>3955.0346346579654</v>
      </c>
      <c r="V724" s="170">
        <f t="shared" ref="V724:V792" si="113">U724-T724</f>
        <v>0</v>
      </c>
      <c r="W724" s="170"/>
      <c r="X724" s="170"/>
      <c r="Y724" s="173">
        <f t="shared" ref="Y724:Y792" si="114">AA724*5221.8/I724</f>
        <v>3651.1828458221653</v>
      </c>
      <c r="AA724" s="173">
        <f t="shared" si="107"/>
        <v>600</v>
      </c>
      <c r="AH724" s="173" t="e">
        <f t="shared" si="108"/>
        <v>#N/A</v>
      </c>
      <c r="AS724" s="173" t="e">
        <f t="shared" si="112"/>
        <v>#N/A</v>
      </c>
    </row>
    <row r="725" spans="1:45" s="173" customFormat="1" ht="36" customHeight="1" x14ac:dyDescent="0.9">
      <c r="A725" s="173">
        <v>1</v>
      </c>
      <c r="B725" s="91">
        <f>SUBTOTAL(103,$A$546:A725)</f>
        <v>178</v>
      </c>
      <c r="C725" s="90" t="s">
        <v>432</v>
      </c>
      <c r="D725" s="185">
        <v>1962</v>
      </c>
      <c r="E725" s="185"/>
      <c r="F725" s="191" t="s">
        <v>332</v>
      </c>
      <c r="G725" s="185">
        <v>2</v>
      </c>
      <c r="H725" s="185">
        <v>2</v>
      </c>
      <c r="I725" s="186">
        <v>590.99</v>
      </c>
      <c r="J725" s="186">
        <v>407.09</v>
      </c>
      <c r="K725" s="186">
        <v>407.09</v>
      </c>
      <c r="L725" s="187">
        <v>22</v>
      </c>
      <c r="M725" s="185" t="s">
        <v>271</v>
      </c>
      <c r="N725" s="185" t="s">
        <v>275</v>
      </c>
      <c r="O725" s="188" t="s">
        <v>336</v>
      </c>
      <c r="P725" s="189">
        <v>2699117.1599999997</v>
      </c>
      <c r="Q725" s="189">
        <v>0</v>
      </c>
      <c r="R725" s="189">
        <v>0</v>
      </c>
      <c r="S725" s="189">
        <f t="shared" si="109"/>
        <v>2699117.1599999997</v>
      </c>
      <c r="T725" s="189">
        <f t="shared" si="111"/>
        <v>4567.1113893636093</v>
      </c>
      <c r="U725" s="189">
        <v>4567.1113893636093</v>
      </c>
      <c r="V725" s="170">
        <f t="shared" si="113"/>
        <v>0</v>
      </c>
      <c r="W725" s="170"/>
      <c r="X725" s="170"/>
      <c r="Y725" s="173">
        <f t="shared" si="114"/>
        <v>4082.085314472326</v>
      </c>
      <c r="AA725" s="173">
        <f t="shared" si="107"/>
        <v>462</v>
      </c>
      <c r="AH725" s="173" t="e">
        <f t="shared" si="108"/>
        <v>#N/A</v>
      </c>
      <c r="AS725" s="173" t="e">
        <f t="shared" si="112"/>
        <v>#N/A</v>
      </c>
    </row>
    <row r="726" spans="1:45" s="173" customFormat="1" ht="36" customHeight="1" x14ac:dyDescent="0.9">
      <c r="A726" s="173">
        <v>1</v>
      </c>
      <c r="B726" s="91">
        <f>SUBTOTAL(103,$A$546:A726)</f>
        <v>179</v>
      </c>
      <c r="C726" s="90" t="s">
        <v>1669</v>
      </c>
      <c r="D726" s="185">
        <v>1960</v>
      </c>
      <c r="E726" s="185"/>
      <c r="F726" s="191" t="s">
        <v>1371</v>
      </c>
      <c r="G726" s="185">
        <v>4</v>
      </c>
      <c r="H726" s="185">
        <v>4</v>
      </c>
      <c r="I726" s="186">
        <v>1920.6</v>
      </c>
      <c r="J726" s="186">
        <v>1243.9000000000001</v>
      </c>
      <c r="K726" s="186">
        <f>J726-257.8</f>
        <v>986.10000000000014</v>
      </c>
      <c r="L726" s="187">
        <v>87</v>
      </c>
      <c r="M726" s="185" t="s">
        <v>271</v>
      </c>
      <c r="N726" s="185" t="s">
        <v>275</v>
      </c>
      <c r="O726" s="188" t="s">
        <v>1013</v>
      </c>
      <c r="P726" s="189">
        <v>5101600</v>
      </c>
      <c r="Q726" s="189">
        <v>0</v>
      </c>
      <c r="R726" s="189">
        <v>0</v>
      </c>
      <c r="S726" s="189">
        <f>P726-Q726-R726</f>
        <v>5101600</v>
      </c>
      <c r="T726" s="189">
        <f t="shared" si="111"/>
        <v>2656.2532541913988</v>
      </c>
      <c r="U726" s="189">
        <f>T726</f>
        <v>2656.2532541913988</v>
      </c>
      <c r="V726" s="170">
        <f t="shared" si="113"/>
        <v>0</v>
      </c>
      <c r="W726" s="170"/>
      <c r="X726" s="170"/>
      <c r="Y726" s="173">
        <f t="shared" si="114"/>
        <v>2476.8612933458294</v>
      </c>
      <c r="AA726" s="173">
        <f t="shared" si="107"/>
        <v>911</v>
      </c>
      <c r="AH726" s="173" t="e">
        <f t="shared" si="108"/>
        <v>#N/A</v>
      </c>
      <c r="AS726" s="173" t="e">
        <f t="shared" si="112"/>
        <v>#N/A</v>
      </c>
    </row>
    <row r="727" spans="1:45" s="173" customFormat="1" ht="36" customHeight="1" x14ac:dyDescent="0.9">
      <c r="A727" s="173">
        <v>1</v>
      </c>
      <c r="B727" s="91">
        <f>SUBTOTAL(103,$A$546:A727)</f>
        <v>180</v>
      </c>
      <c r="C727" s="90" t="s">
        <v>1700</v>
      </c>
      <c r="D727" s="185">
        <v>1959</v>
      </c>
      <c r="E727" s="185"/>
      <c r="F727" s="191" t="s">
        <v>1371</v>
      </c>
      <c r="G727" s="185">
        <v>3</v>
      </c>
      <c r="H727" s="185">
        <v>2</v>
      </c>
      <c r="I727" s="186">
        <v>1263</v>
      </c>
      <c r="J727" s="186">
        <v>1052.4000000000001</v>
      </c>
      <c r="K727" s="186">
        <f>J727-281.3</f>
        <v>771.10000000000014</v>
      </c>
      <c r="L727" s="187">
        <v>92</v>
      </c>
      <c r="M727" s="185" t="s">
        <v>271</v>
      </c>
      <c r="N727" s="185" t="s">
        <v>272</v>
      </c>
      <c r="O727" s="188" t="s">
        <v>274</v>
      </c>
      <c r="P727" s="189">
        <v>2638742.77</v>
      </c>
      <c r="Q727" s="189">
        <v>0</v>
      </c>
      <c r="R727" s="189">
        <v>0</v>
      </c>
      <c r="S727" s="189">
        <f>P727-Q727-R727</f>
        <v>2638742.77</v>
      </c>
      <c r="T727" s="189">
        <f t="shared" si="111"/>
        <v>2089.2658511480604</v>
      </c>
      <c r="U727" s="189">
        <f>T727</f>
        <v>2089.2658511480604</v>
      </c>
      <c r="V727" s="170">
        <f t="shared" si="113"/>
        <v>0</v>
      </c>
      <c r="W727" s="170"/>
      <c r="X727" s="170"/>
      <c r="Y727" s="173">
        <f t="shared" si="114"/>
        <v>3497.7377672209022</v>
      </c>
      <c r="AA727" s="173">
        <f t="shared" si="107"/>
        <v>846</v>
      </c>
      <c r="AH727" s="173" t="e">
        <f t="shared" si="108"/>
        <v>#N/A</v>
      </c>
      <c r="AS727" s="173" t="e">
        <f t="shared" si="112"/>
        <v>#N/A</v>
      </c>
    </row>
    <row r="728" spans="1:45" s="173" customFormat="1" ht="36" customHeight="1" x14ac:dyDescent="0.9">
      <c r="A728" s="173">
        <v>1</v>
      </c>
      <c r="B728" s="91">
        <f>SUBTOTAL(103,$A$546:A728)</f>
        <v>181</v>
      </c>
      <c r="C728" s="90" t="s">
        <v>1701</v>
      </c>
      <c r="D728" s="185">
        <v>1942</v>
      </c>
      <c r="E728" s="185"/>
      <c r="F728" s="191" t="s">
        <v>1371</v>
      </c>
      <c r="G728" s="185">
        <v>2</v>
      </c>
      <c r="H728" s="185">
        <v>2</v>
      </c>
      <c r="I728" s="186">
        <v>1139.8399999999999</v>
      </c>
      <c r="J728" s="186">
        <v>660</v>
      </c>
      <c r="K728" s="186">
        <f>J728-52</f>
        <v>608</v>
      </c>
      <c r="L728" s="187">
        <v>25</v>
      </c>
      <c r="M728" s="185" t="s">
        <v>271</v>
      </c>
      <c r="N728" s="185" t="s">
        <v>272</v>
      </c>
      <c r="O728" s="188" t="s">
        <v>274</v>
      </c>
      <c r="P728" s="189">
        <v>3267279.28</v>
      </c>
      <c r="Q728" s="189">
        <v>0</v>
      </c>
      <c r="R728" s="189">
        <v>0</v>
      </c>
      <c r="S728" s="189">
        <f>P728-Q728-R728</f>
        <v>3267279.28</v>
      </c>
      <c r="T728" s="189">
        <f t="shared" si="111"/>
        <v>2866.4367630544639</v>
      </c>
      <c r="U728" s="189">
        <v>2866.4367630544639</v>
      </c>
      <c r="V728" s="170">
        <f t="shared" si="113"/>
        <v>0</v>
      </c>
      <c r="W728" s="170"/>
      <c r="X728" s="170"/>
      <c r="Y728" s="173">
        <f t="shared" si="114"/>
        <v>2748.7015721504777</v>
      </c>
      <c r="AA728" s="173">
        <f t="shared" si="107"/>
        <v>600</v>
      </c>
      <c r="AH728" s="173" t="e">
        <f t="shared" si="108"/>
        <v>#N/A</v>
      </c>
      <c r="AS728" s="173" t="e">
        <f t="shared" si="112"/>
        <v>#N/A</v>
      </c>
    </row>
    <row r="729" spans="1:45" s="173" customFormat="1" ht="36" customHeight="1" x14ac:dyDescent="0.9">
      <c r="A729" s="173">
        <v>1</v>
      </c>
      <c r="B729" s="91">
        <f>SUBTOTAL(103,$A$546:A729)</f>
        <v>182</v>
      </c>
      <c r="C729" s="90" t="s">
        <v>449</v>
      </c>
      <c r="D729" s="185">
        <v>1994</v>
      </c>
      <c r="E729" s="185"/>
      <c r="F729" s="191" t="s">
        <v>319</v>
      </c>
      <c r="G729" s="185">
        <v>9</v>
      </c>
      <c r="H729" s="185">
        <v>2</v>
      </c>
      <c r="I729" s="186">
        <v>4306.3</v>
      </c>
      <c r="J729" s="186">
        <v>3871</v>
      </c>
      <c r="K729" s="186">
        <v>3511.4</v>
      </c>
      <c r="L729" s="187">
        <v>173</v>
      </c>
      <c r="M729" s="185" t="s">
        <v>271</v>
      </c>
      <c r="N729" s="185" t="s">
        <v>275</v>
      </c>
      <c r="O729" s="188" t="s">
        <v>329</v>
      </c>
      <c r="P729" s="189">
        <v>4451631.53</v>
      </c>
      <c r="Q729" s="189">
        <v>0</v>
      </c>
      <c r="R729" s="189">
        <v>0</v>
      </c>
      <c r="S729" s="189">
        <f>P729-Q729-R729</f>
        <v>4451631.53</v>
      </c>
      <c r="T729" s="189">
        <f t="shared" si="111"/>
        <v>1033.7485846318184</v>
      </c>
      <c r="U729" s="189">
        <f>T729</f>
        <v>1033.7485846318184</v>
      </c>
      <c r="V729" s="170">
        <f>U729-T729</f>
        <v>0</v>
      </c>
      <c r="W729" s="170"/>
      <c r="X729" s="170"/>
      <c r="Y729" s="173" t="e">
        <f>AA729*5221.8/I729</f>
        <v>#N/A</v>
      </c>
      <c r="AA729" s="173" t="e">
        <f t="shared" si="107"/>
        <v>#N/A</v>
      </c>
      <c r="AH729" s="173" t="e">
        <f t="shared" si="108"/>
        <v>#N/A</v>
      </c>
      <c r="AR729" s="173">
        <f>AS729*2207413/I729</f>
        <v>1025.2016812576921</v>
      </c>
      <c r="AS729" s="173">
        <f t="shared" si="112"/>
        <v>2</v>
      </c>
    </row>
    <row r="730" spans="1:45" s="173" customFormat="1" ht="36" customHeight="1" x14ac:dyDescent="0.9">
      <c r="A730" s="173">
        <v>1</v>
      </c>
      <c r="B730" s="91">
        <f>SUBTOTAL(103,$A$546:A730)</f>
        <v>183</v>
      </c>
      <c r="C730" s="90" t="s">
        <v>1721</v>
      </c>
      <c r="D730" s="185">
        <v>1952</v>
      </c>
      <c r="E730" s="185"/>
      <c r="F730" s="191" t="s">
        <v>1371</v>
      </c>
      <c r="G730" s="185">
        <v>2</v>
      </c>
      <c r="H730" s="185">
        <v>2</v>
      </c>
      <c r="I730" s="186">
        <v>557.4</v>
      </c>
      <c r="J730" s="186">
        <v>517.5</v>
      </c>
      <c r="K730" s="186">
        <v>470.9</v>
      </c>
      <c r="L730" s="187">
        <v>31</v>
      </c>
      <c r="M730" s="185" t="s">
        <v>271</v>
      </c>
      <c r="N730" s="185" t="s">
        <v>272</v>
      </c>
      <c r="O730" s="188" t="s">
        <v>274</v>
      </c>
      <c r="P730" s="189">
        <v>3267843.12</v>
      </c>
      <c r="Q730" s="189">
        <v>0</v>
      </c>
      <c r="R730" s="189">
        <v>0</v>
      </c>
      <c r="S730" s="189">
        <f t="shared" ref="S730:S731" si="115">P730-Q730-R730</f>
        <v>3267843.12</v>
      </c>
      <c r="T730" s="189">
        <f t="shared" si="111"/>
        <v>5862.6536060279877</v>
      </c>
      <c r="U730" s="189">
        <v>6377.7287405812704</v>
      </c>
      <c r="V730" s="170"/>
      <c r="W730" s="170"/>
      <c r="X730" s="170"/>
    </row>
    <row r="731" spans="1:45" s="173" customFormat="1" ht="36" customHeight="1" x14ac:dyDescent="0.9">
      <c r="A731" s="173">
        <v>1</v>
      </c>
      <c r="B731" s="91">
        <f>SUBTOTAL(103,$A$546:A731)</f>
        <v>184</v>
      </c>
      <c r="C731" s="90" t="s">
        <v>1722</v>
      </c>
      <c r="D731" s="185">
        <v>1950</v>
      </c>
      <c r="E731" s="185"/>
      <c r="F731" s="191" t="s">
        <v>1371</v>
      </c>
      <c r="G731" s="185">
        <v>2</v>
      </c>
      <c r="H731" s="185">
        <v>1</v>
      </c>
      <c r="I731" s="186">
        <v>462.7</v>
      </c>
      <c r="J731" s="186">
        <v>460.2</v>
      </c>
      <c r="K731" s="186">
        <v>294.10000000000002</v>
      </c>
      <c r="L731" s="187">
        <v>17</v>
      </c>
      <c r="M731" s="185" t="s">
        <v>271</v>
      </c>
      <c r="N731" s="185" t="s">
        <v>275</v>
      </c>
      <c r="O731" s="188" t="s">
        <v>329</v>
      </c>
      <c r="P731" s="189">
        <v>2422320</v>
      </c>
      <c r="Q731" s="189">
        <v>0</v>
      </c>
      <c r="R731" s="189">
        <v>0</v>
      </c>
      <c r="S731" s="189">
        <f t="shared" si="115"/>
        <v>2422320</v>
      </c>
      <c r="T731" s="189">
        <f t="shared" si="111"/>
        <v>5235.1847849578562</v>
      </c>
      <c r="U731" s="189">
        <v>5634.234709314891</v>
      </c>
      <c r="V731" s="170"/>
      <c r="W731" s="170"/>
      <c r="X731" s="170"/>
    </row>
    <row r="732" spans="1:45" s="173" customFormat="1" ht="36" customHeight="1" x14ac:dyDescent="0.9">
      <c r="A732" s="173">
        <v>1</v>
      </c>
      <c r="B732" s="91">
        <f>SUBTOTAL(103,$A$546:A732)</f>
        <v>185</v>
      </c>
      <c r="C732" s="90" t="s">
        <v>1180</v>
      </c>
      <c r="D732" s="185">
        <v>1952</v>
      </c>
      <c r="E732" s="185"/>
      <c r="F732" s="191" t="s">
        <v>273</v>
      </c>
      <c r="G732" s="185">
        <v>3</v>
      </c>
      <c r="H732" s="185">
        <v>3</v>
      </c>
      <c r="I732" s="189">
        <v>1798.15</v>
      </c>
      <c r="J732" s="189">
        <v>1637.95</v>
      </c>
      <c r="K732" s="189">
        <v>1637.95</v>
      </c>
      <c r="L732" s="187">
        <v>58</v>
      </c>
      <c r="M732" s="185" t="s">
        <v>271</v>
      </c>
      <c r="N732" s="185" t="s">
        <v>275</v>
      </c>
      <c r="O732" s="188" t="s">
        <v>1016</v>
      </c>
      <c r="P732" s="189">
        <v>2050106.0299999998</v>
      </c>
      <c r="Q732" s="189">
        <v>0</v>
      </c>
      <c r="R732" s="189">
        <v>0</v>
      </c>
      <c r="S732" s="189">
        <f>P732-Q732-R732</f>
        <v>2050106.0299999998</v>
      </c>
      <c r="T732" s="189">
        <f t="shared" si="111"/>
        <v>1140.1195840169062</v>
      </c>
      <c r="U732" s="189">
        <f>AG732</f>
        <v>4426.2291522940259</v>
      </c>
      <c r="V732" s="170">
        <f>U732-T732</f>
        <v>3286.1095682771197</v>
      </c>
      <c r="W732" s="170"/>
      <c r="X732" s="170"/>
      <c r="Y732" s="173" t="e">
        <f>AA732*5221.8/I732</f>
        <v>#N/A</v>
      </c>
      <c r="AA732" s="173" t="e">
        <f t="shared" ref="AA732:AA795" si="116">VLOOKUP(C732,AC:AE,2,FALSE)</f>
        <v>#N/A</v>
      </c>
      <c r="AC732" s="173" t="s">
        <v>688</v>
      </c>
      <c r="AD732" s="173">
        <v>900</v>
      </c>
      <c r="AG732" s="173">
        <f>AH732*6191.24/J732</f>
        <v>4426.2291522940259</v>
      </c>
      <c r="AH732" s="173">
        <f t="shared" ref="AH732:AH795" si="117">VLOOKUP(C732,AJ:AK,2,FALSE)</f>
        <v>1171</v>
      </c>
      <c r="AS732" s="173" t="e">
        <f t="shared" ref="AS732:AS795" si="118">VLOOKUP(C732,AU:AV,2,FALSE)</f>
        <v>#N/A</v>
      </c>
    </row>
    <row r="733" spans="1:45" s="173" customFormat="1" ht="36" customHeight="1" x14ac:dyDescent="0.9">
      <c r="A733" s="173">
        <v>1</v>
      </c>
      <c r="B733" s="91">
        <f>SUBTOTAL(103,$A$546:A733)</f>
        <v>186</v>
      </c>
      <c r="C733" s="90" t="s">
        <v>433</v>
      </c>
      <c r="D733" s="185">
        <v>1959</v>
      </c>
      <c r="E733" s="185"/>
      <c r="F733" s="191" t="s">
        <v>273</v>
      </c>
      <c r="G733" s="185">
        <v>3</v>
      </c>
      <c r="H733" s="185">
        <v>4</v>
      </c>
      <c r="I733" s="186">
        <v>2095.6</v>
      </c>
      <c r="J733" s="186">
        <v>1915.7</v>
      </c>
      <c r="K733" s="186">
        <v>1915.7</v>
      </c>
      <c r="L733" s="187">
        <v>69</v>
      </c>
      <c r="M733" s="185" t="s">
        <v>271</v>
      </c>
      <c r="N733" s="185" t="s">
        <v>275</v>
      </c>
      <c r="O733" s="188" t="s">
        <v>333</v>
      </c>
      <c r="P733" s="189">
        <v>150000</v>
      </c>
      <c r="Q733" s="189">
        <v>0</v>
      </c>
      <c r="R733" s="189">
        <v>0</v>
      </c>
      <c r="S733" s="189">
        <f t="shared" si="109"/>
        <v>150000</v>
      </c>
      <c r="T733" s="189">
        <f t="shared" si="111"/>
        <v>71.578545523954958</v>
      </c>
      <c r="U733" s="189">
        <f t="shared" ref="U733:U758" si="119">T733</f>
        <v>71.578545523954958</v>
      </c>
      <c r="V733" s="170">
        <f t="shared" si="113"/>
        <v>0</v>
      </c>
      <c r="W733" s="170"/>
      <c r="X733" s="170"/>
      <c r="Y733" s="173">
        <f t="shared" si="114"/>
        <v>2317.3668639053253</v>
      </c>
      <c r="AA733" s="173">
        <f t="shared" si="116"/>
        <v>930</v>
      </c>
      <c r="AH733" s="173" t="e">
        <f t="shared" si="117"/>
        <v>#N/A</v>
      </c>
      <c r="AS733" s="173" t="e">
        <f t="shared" si="118"/>
        <v>#N/A</v>
      </c>
    </row>
    <row r="734" spans="1:45" s="173" customFormat="1" ht="36" customHeight="1" x14ac:dyDescent="0.9">
      <c r="A734" s="173">
        <v>1</v>
      </c>
      <c r="B734" s="91">
        <f>SUBTOTAL(103,$A$546:A734)</f>
        <v>187</v>
      </c>
      <c r="C734" s="90" t="s">
        <v>434</v>
      </c>
      <c r="D734" s="185">
        <v>1989</v>
      </c>
      <c r="E734" s="185"/>
      <c r="F734" s="191" t="s">
        <v>273</v>
      </c>
      <c r="G734" s="185">
        <v>5</v>
      </c>
      <c r="H734" s="185">
        <v>3</v>
      </c>
      <c r="I734" s="186">
        <v>2042.1</v>
      </c>
      <c r="J734" s="186">
        <v>1708.9</v>
      </c>
      <c r="K734" s="186">
        <v>1675.9</v>
      </c>
      <c r="L734" s="187">
        <v>86</v>
      </c>
      <c r="M734" s="185" t="s">
        <v>271</v>
      </c>
      <c r="N734" s="185" t="s">
        <v>275</v>
      </c>
      <c r="O734" s="188" t="s">
        <v>1016</v>
      </c>
      <c r="P734" s="189">
        <v>150000</v>
      </c>
      <c r="Q734" s="189">
        <v>0</v>
      </c>
      <c r="R734" s="189">
        <v>0</v>
      </c>
      <c r="S734" s="189">
        <f t="shared" si="109"/>
        <v>150000</v>
      </c>
      <c r="T734" s="189">
        <f t="shared" si="111"/>
        <v>73.453797561333928</v>
      </c>
      <c r="U734" s="189">
        <f t="shared" si="119"/>
        <v>73.453797561333928</v>
      </c>
      <c r="V734" s="170">
        <f t="shared" si="113"/>
        <v>0</v>
      </c>
      <c r="W734" s="170"/>
      <c r="X734" s="170"/>
      <c r="Y734" s="173">
        <f t="shared" si="114"/>
        <v>1518.9017188188632</v>
      </c>
      <c r="AA734" s="173">
        <f t="shared" si="116"/>
        <v>594</v>
      </c>
      <c r="AH734" s="173" t="e">
        <f t="shared" si="117"/>
        <v>#N/A</v>
      </c>
      <c r="AS734" s="173" t="e">
        <f t="shared" si="118"/>
        <v>#N/A</v>
      </c>
    </row>
    <row r="735" spans="1:45" s="173" customFormat="1" ht="36" customHeight="1" x14ac:dyDescent="0.9">
      <c r="A735" s="173">
        <v>1</v>
      </c>
      <c r="B735" s="91">
        <f>SUBTOTAL(103,$A$546:A735)</f>
        <v>188</v>
      </c>
      <c r="C735" s="90" t="s">
        <v>435</v>
      </c>
      <c r="D735" s="185">
        <v>1972</v>
      </c>
      <c r="E735" s="185"/>
      <c r="F735" s="191" t="s">
        <v>273</v>
      </c>
      <c r="G735" s="185">
        <v>5</v>
      </c>
      <c r="H735" s="185">
        <v>4</v>
      </c>
      <c r="I735" s="186">
        <v>3577.12</v>
      </c>
      <c r="J735" s="186">
        <v>3193.8</v>
      </c>
      <c r="K735" s="186">
        <v>2940.98</v>
      </c>
      <c r="L735" s="187">
        <v>152</v>
      </c>
      <c r="M735" s="185" t="s">
        <v>271</v>
      </c>
      <c r="N735" s="185" t="s">
        <v>275</v>
      </c>
      <c r="O735" s="188" t="s">
        <v>336</v>
      </c>
      <c r="P735" s="189">
        <v>180000</v>
      </c>
      <c r="Q735" s="189">
        <v>0</v>
      </c>
      <c r="R735" s="189">
        <v>0</v>
      </c>
      <c r="S735" s="189">
        <f t="shared" si="109"/>
        <v>180000</v>
      </c>
      <c r="T735" s="189">
        <f t="shared" si="111"/>
        <v>50.319810350225879</v>
      </c>
      <c r="U735" s="189">
        <f t="shared" si="119"/>
        <v>50.319810350225879</v>
      </c>
      <c r="V735" s="170">
        <f t="shared" si="113"/>
        <v>0</v>
      </c>
      <c r="W735" s="170"/>
      <c r="X735" s="170"/>
      <c r="Y735" s="173">
        <f t="shared" si="114"/>
        <v>1632.0314666547392</v>
      </c>
      <c r="AA735" s="173">
        <f t="shared" si="116"/>
        <v>1118</v>
      </c>
      <c r="AH735" s="173" t="e">
        <f t="shared" si="117"/>
        <v>#N/A</v>
      </c>
      <c r="AS735" s="173" t="e">
        <f t="shared" si="118"/>
        <v>#N/A</v>
      </c>
    </row>
    <row r="736" spans="1:45" s="173" customFormat="1" ht="36" customHeight="1" x14ac:dyDescent="0.9">
      <c r="A736" s="173">
        <v>1</v>
      </c>
      <c r="B736" s="91">
        <f>SUBTOTAL(103,$A$546:A736)</f>
        <v>189</v>
      </c>
      <c r="C736" s="90" t="s">
        <v>436</v>
      </c>
      <c r="D736" s="185">
        <v>1955</v>
      </c>
      <c r="E736" s="185"/>
      <c r="F736" s="191" t="s">
        <v>273</v>
      </c>
      <c r="G736" s="185">
        <v>2</v>
      </c>
      <c r="H736" s="185">
        <v>3</v>
      </c>
      <c r="I736" s="186">
        <v>1501.5</v>
      </c>
      <c r="J736" s="186">
        <v>1386.8</v>
      </c>
      <c r="K736" s="186">
        <v>1250.54</v>
      </c>
      <c r="L736" s="187">
        <v>57</v>
      </c>
      <c r="M736" s="185" t="s">
        <v>271</v>
      </c>
      <c r="N736" s="185" t="s">
        <v>275</v>
      </c>
      <c r="O736" s="188" t="s">
        <v>336</v>
      </c>
      <c r="P736" s="189">
        <v>200000</v>
      </c>
      <c r="Q736" s="189">
        <v>0</v>
      </c>
      <c r="R736" s="189">
        <v>0</v>
      </c>
      <c r="S736" s="189">
        <f t="shared" si="109"/>
        <v>200000</v>
      </c>
      <c r="T736" s="189">
        <f t="shared" si="111"/>
        <v>133.20013320013319</v>
      </c>
      <c r="U736" s="189">
        <f t="shared" si="119"/>
        <v>133.20013320013319</v>
      </c>
      <c r="V736" s="170">
        <f t="shared" si="113"/>
        <v>0</v>
      </c>
      <c r="W736" s="170"/>
      <c r="X736" s="170"/>
      <c r="Y736" s="173" t="e">
        <f t="shared" si="114"/>
        <v>#N/A</v>
      </c>
      <c r="AA736" s="173" t="e">
        <f t="shared" si="116"/>
        <v>#N/A</v>
      </c>
      <c r="AG736" s="173">
        <f>AH736*6191.24/J736</f>
        <v>4687.6276319584658</v>
      </c>
      <c r="AH736" s="173">
        <f t="shared" si="117"/>
        <v>1050</v>
      </c>
      <c r="AS736" s="173" t="e">
        <f t="shared" si="118"/>
        <v>#N/A</v>
      </c>
    </row>
    <row r="737" spans="1:45" s="173" customFormat="1" ht="36" customHeight="1" x14ac:dyDescent="0.9">
      <c r="A737" s="173">
        <v>1</v>
      </c>
      <c r="B737" s="91">
        <f>SUBTOTAL(103,$A$546:A737)</f>
        <v>190</v>
      </c>
      <c r="C737" s="90" t="s">
        <v>437</v>
      </c>
      <c r="D737" s="185">
        <v>1961</v>
      </c>
      <c r="E737" s="185"/>
      <c r="F737" s="191" t="s">
        <v>273</v>
      </c>
      <c r="G737" s="185">
        <v>2</v>
      </c>
      <c r="H737" s="185">
        <v>1</v>
      </c>
      <c r="I737" s="186">
        <v>646.49</v>
      </c>
      <c r="J737" s="186">
        <v>588.49</v>
      </c>
      <c r="K737" s="186">
        <v>588.49</v>
      </c>
      <c r="L737" s="187">
        <v>29</v>
      </c>
      <c r="M737" s="185" t="s">
        <v>271</v>
      </c>
      <c r="N737" s="185" t="s">
        <v>272</v>
      </c>
      <c r="O737" s="188" t="s">
        <v>274</v>
      </c>
      <c r="P737" s="189">
        <v>150000</v>
      </c>
      <c r="Q737" s="189">
        <v>0</v>
      </c>
      <c r="R737" s="189">
        <v>0</v>
      </c>
      <c r="S737" s="189">
        <f t="shared" si="109"/>
        <v>150000</v>
      </c>
      <c r="T737" s="189">
        <f t="shared" si="111"/>
        <v>232.02215038128972</v>
      </c>
      <c r="U737" s="189">
        <f t="shared" si="119"/>
        <v>232.02215038128972</v>
      </c>
      <c r="V737" s="170">
        <f t="shared" si="113"/>
        <v>0</v>
      </c>
      <c r="W737" s="170"/>
      <c r="X737" s="170"/>
      <c r="Y737" s="173">
        <f t="shared" si="114"/>
        <v>5928.6318427199185</v>
      </c>
      <c r="AA737" s="173">
        <f t="shared" si="116"/>
        <v>734</v>
      </c>
      <c r="AH737" s="173" t="e">
        <f t="shared" si="117"/>
        <v>#N/A</v>
      </c>
      <c r="AS737" s="173" t="e">
        <f t="shared" si="118"/>
        <v>#N/A</v>
      </c>
    </row>
    <row r="738" spans="1:45" s="173" customFormat="1" ht="36" customHeight="1" x14ac:dyDescent="0.9">
      <c r="A738" s="173">
        <v>1</v>
      </c>
      <c r="B738" s="91">
        <f>SUBTOTAL(103,$A$546:A738)</f>
        <v>191</v>
      </c>
      <c r="C738" s="90" t="s">
        <v>438</v>
      </c>
      <c r="D738" s="185">
        <v>1969</v>
      </c>
      <c r="E738" s="185"/>
      <c r="F738" s="191" t="s">
        <v>273</v>
      </c>
      <c r="G738" s="185">
        <v>5</v>
      </c>
      <c r="H738" s="185">
        <v>6</v>
      </c>
      <c r="I738" s="186">
        <v>4890.1099999999997</v>
      </c>
      <c r="J738" s="186">
        <v>4432.68</v>
      </c>
      <c r="K738" s="186">
        <v>4177.2300000000005</v>
      </c>
      <c r="L738" s="187">
        <v>212</v>
      </c>
      <c r="M738" s="185" t="s">
        <v>271</v>
      </c>
      <c r="N738" s="185" t="s">
        <v>275</v>
      </c>
      <c r="O738" s="188" t="s">
        <v>329</v>
      </c>
      <c r="P738" s="189">
        <v>180000</v>
      </c>
      <c r="Q738" s="189">
        <v>0</v>
      </c>
      <c r="R738" s="189">
        <v>0</v>
      </c>
      <c r="S738" s="189">
        <f t="shared" si="109"/>
        <v>180000</v>
      </c>
      <c r="T738" s="189">
        <f t="shared" si="111"/>
        <v>36.808987936876676</v>
      </c>
      <c r="U738" s="189">
        <f t="shared" si="119"/>
        <v>36.808987936876676</v>
      </c>
      <c r="V738" s="170">
        <f t="shared" si="113"/>
        <v>0</v>
      </c>
      <c r="W738" s="170"/>
      <c r="X738" s="170"/>
      <c r="Y738" s="173">
        <f t="shared" si="114"/>
        <v>1830.2584604436304</v>
      </c>
      <c r="AA738" s="173">
        <f t="shared" si="116"/>
        <v>1714</v>
      </c>
      <c r="AH738" s="173" t="e">
        <f t="shared" si="117"/>
        <v>#N/A</v>
      </c>
      <c r="AS738" s="173" t="e">
        <f t="shared" si="118"/>
        <v>#N/A</v>
      </c>
    </row>
    <row r="739" spans="1:45" s="173" customFormat="1" ht="36" customHeight="1" x14ac:dyDescent="0.9">
      <c r="A739" s="173">
        <v>1</v>
      </c>
      <c r="B739" s="91">
        <f>SUBTOTAL(103,$A$546:A739)</f>
        <v>192</v>
      </c>
      <c r="C739" s="90" t="s">
        <v>439</v>
      </c>
      <c r="D739" s="185">
        <v>1961</v>
      </c>
      <c r="E739" s="185"/>
      <c r="F739" s="191" t="s">
        <v>273</v>
      </c>
      <c r="G739" s="185">
        <v>2</v>
      </c>
      <c r="H739" s="185">
        <v>2</v>
      </c>
      <c r="I739" s="186">
        <v>824.68999999999994</v>
      </c>
      <c r="J739" s="186">
        <v>778.39</v>
      </c>
      <c r="K739" s="186">
        <v>728.73</v>
      </c>
      <c r="L739" s="187">
        <v>49</v>
      </c>
      <c r="M739" s="185" t="s">
        <v>271</v>
      </c>
      <c r="N739" s="185" t="s">
        <v>275</v>
      </c>
      <c r="O739" s="188" t="s">
        <v>333</v>
      </c>
      <c r="P739" s="189">
        <v>150000</v>
      </c>
      <c r="Q739" s="189">
        <v>0</v>
      </c>
      <c r="R739" s="189">
        <v>0</v>
      </c>
      <c r="S739" s="189">
        <f t="shared" si="109"/>
        <v>150000</v>
      </c>
      <c r="T739" s="189">
        <f t="shared" si="111"/>
        <v>181.88652705865235</v>
      </c>
      <c r="U739" s="189">
        <f t="shared" si="119"/>
        <v>181.88652705865235</v>
      </c>
      <c r="V739" s="170">
        <f t="shared" si="113"/>
        <v>0</v>
      </c>
      <c r="W739" s="170"/>
      <c r="X739" s="170"/>
      <c r="Y739" s="173">
        <f t="shared" si="114"/>
        <v>3799.1002679794833</v>
      </c>
      <c r="AA739" s="173">
        <f t="shared" si="116"/>
        <v>600</v>
      </c>
      <c r="AH739" s="173" t="e">
        <f t="shared" si="117"/>
        <v>#N/A</v>
      </c>
      <c r="AS739" s="173" t="e">
        <f t="shared" si="118"/>
        <v>#N/A</v>
      </c>
    </row>
    <row r="740" spans="1:45" s="173" customFormat="1" ht="36" customHeight="1" x14ac:dyDescent="0.9">
      <c r="A740" s="173">
        <v>1</v>
      </c>
      <c r="B740" s="91">
        <f>SUBTOTAL(103,$A$546:A740)</f>
        <v>193</v>
      </c>
      <c r="C740" s="90" t="s">
        <v>440</v>
      </c>
      <c r="D740" s="185">
        <v>1980</v>
      </c>
      <c r="E740" s="185"/>
      <c r="F740" s="191" t="s">
        <v>273</v>
      </c>
      <c r="G740" s="185">
        <v>5</v>
      </c>
      <c r="H740" s="185">
        <v>2</v>
      </c>
      <c r="I740" s="186">
        <v>1589.4</v>
      </c>
      <c r="J740" s="186">
        <v>1176.4000000000001</v>
      </c>
      <c r="K740" s="186">
        <v>1117.8000000000002</v>
      </c>
      <c r="L740" s="187">
        <v>65</v>
      </c>
      <c r="M740" s="185" t="s">
        <v>271</v>
      </c>
      <c r="N740" s="185" t="s">
        <v>275</v>
      </c>
      <c r="O740" s="188" t="s">
        <v>333</v>
      </c>
      <c r="P740" s="189">
        <v>120000</v>
      </c>
      <c r="Q740" s="189">
        <v>0</v>
      </c>
      <c r="R740" s="189">
        <v>0</v>
      </c>
      <c r="S740" s="189">
        <f t="shared" si="109"/>
        <v>120000</v>
      </c>
      <c r="T740" s="189">
        <f t="shared" si="111"/>
        <v>75.500188750471878</v>
      </c>
      <c r="U740" s="189">
        <f t="shared" si="119"/>
        <v>75.500188750471878</v>
      </c>
      <c r="V740" s="170">
        <f t="shared" si="113"/>
        <v>0</v>
      </c>
      <c r="W740" s="170"/>
      <c r="X740" s="170"/>
      <c r="Y740" s="173">
        <f t="shared" si="114"/>
        <v>1149.8867497168742</v>
      </c>
      <c r="AA740" s="173">
        <f t="shared" si="116"/>
        <v>350</v>
      </c>
      <c r="AH740" s="173" t="e">
        <f t="shared" si="117"/>
        <v>#N/A</v>
      </c>
      <c r="AS740" s="173" t="e">
        <f t="shared" si="118"/>
        <v>#N/A</v>
      </c>
    </row>
    <row r="741" spans="1:45" s="173" customFormat="1" ht="36" customHeight="1" x14ac:dyDescent="0.9">
      <c r="A741" s="173">
        <v>1</v>
      </c>
      <c r="B741" s="91">
        <f>SUBTOTAL(103,$A$546:A741)</f>
        <v>194</v>
      </c>
      <c r="C741" s="90" t="s">
        <v>209</v>
      </c>
      <c r="D741" s="185">
        <v>1983</v>
      </c>
      <c r="E741" s="185"/>
      <c r="F741" s="191" t="s">
        <v>273</v>
      </c>
      <c r="G741" s="185">
        <v>5</v>
      </c>
      <c r="H741" s="185">
        <v>4</v>
      </c>
      <c r="I741" s="186">
        <v>3097.1</v>
      </c>
      <c r="J741" s="186">
        <v>2810.6</v>
      </c>
      <c r="K741" s="186">
        <v>2810.6</v>
      </c>
      <c r="L741" s="187">
        <v>127</v>
      </c>
      <c r="M741" s="185" t="s">
        <v>271</v>
      </c>
      <c r="N741" s="185" t="s">
        <v>275</v>
      </c>
      <c r="O741" s="188" t="s">
        <v>1016</v>
      </c>
      <c r="P741" s="189">
        <v>150000</v>
      </c>
      <c r="Q741" s="189">
        <v>0</v>
      </c>
      <c r="R741" s="189">
        <v>0</v>
      </c>
      <c r="S741" s="189">
        <f t="shared" si="109"/>
        <v>150000</v>
      </c>
      <c r="T741" s="189">
        <f t="shared" si="111"/>
        <v>48.432404507442449</v>
      </c>
      <c r="U741" s="189">
        <f t="shared" si="119"/>
        <v>48.432404507442449</v>
      </c>
      <c r="V741" s="170">
        <f t="shared" si="113"/>
        <v>0</v>
      </c>
      <c r="W741" s="170"/>
      <c r="X741" s="170"/>
      <c r="Y741" s="173">
        <f t="shared" si="114"/>
        <v>1684.3428368473735</v>
      </c>
      <c r="AA741" s="173">
        <f t="shared" si="116"/>
        <v>999</v>
      </c>
      <c r="AH741" s="173" t="e">
        <f t="shared" si="117"/>
        <v>#N/A</v>
      </c>
      <c r="AS741" s="173" t="e">
        <f t="shared" si="118"/>
        <v>#N/A</v>
      </c>
    </row>
    <row r="742" spans="1:45" s="173" customFormat="1" ht="36" customHeight="1" x14ac:dyDescent="0.9">
      <c r="A742" s="173">
        <v>1</v>
      </c>
      <c r="B742" s="91">
        <f>SUBTOTAL(103,$A$546:A742)</f>
        <v>195</v>
      </c>
      <c r="C742" s="90" t="s">
        <v>210</v>
      </c>
      <c r="D742" s="185">
        <v>1963</v>
      </c>
      <c r="E742" s="185"/>
      <c r="F742" s="191" t="s">
        <v>273</v>
      </c>
      <c r="G742" s="185">
        <v>2</v>
      </c>
      <c r="H742" s="185">
        <v>2</v>
      </c>
      <c r="I742" s="186">
        <v>490.8</v>
      </c>
      <c r="J742" s="186">
        <v>442.2</v>
      </c>
      <c r="K742" s="186">
        <v>442.2</v>
      </c>
      <c r="L742" s="187">
        <v>19</v>
      </c>
      <c r="M742" s="185" t="s">
        <v>271</v>
      </c>
      <c r="N742" s="185" t="s">
        <v>275</v>
      </c>
      <c r="O742" s="188" t="s">
        <v>334</v>
      </c>
      <c r="P742" s="189">
        <v>70000</v>
      </c>
      <c r="Q742" s="189">
        <v>0</v>
      </c>
      <c r="R742" s="189">
        <v>0</v>
      </c>
      <c r="S742" s="189">
        <f t="shared" si="109"/>
        <v>70000</v>
      </c>
      <c r="T742" s="189">
        <f t="shared" si="111"/>
        <v>142.62428687856561</v>
      </c>
      <c r="U742" s="189">
        <f t="shared" si="119"/>
        <v>142.62428687856561</v>
      </c>
      <c r="V742" s="170">
        <f t="shared" si="113"/>
        <v>0</v>
      </c>
      <c r="W742" s="170"/>
      <c r="X742" s="170"/>
      <c r="Y742" s="173" t="e">
        <f t="shared" si="114"/>
        <v>#N/A</v>
      </c>
      <c r="AA742" s="173" t="e">
        <f t="shared" si="116"/>
        <v>#N/A</v>
      </c>
      <c r="AH742" s="173" t="e">
        <f t="shared" si="117"/>
        <v>#N/A</v>
      </c>
      <c r="AS742" s="173" t="e">
        <f t="shared" si="118"/>
        <v>#N/A</v>
      </c>
    </row>
    <row r="743" spans="1:45" s="173" customFormat="1" ht="36" customHeight="1" x14ac:dyDescent="0.9">
      <c r="A743" s="173">
        <v>1</v>
      </c>
      <c r="B743" s="91">
        <f>SUBTOTAL(103,$A$546:A743)</f>
        <v>196</v>
      </c>
      <c r="C743" s="90" t="s">
        <v>211</v>
      </c>
      <c r="D743" s="185">
        <v>1969</v>
      </c>
      <c r="E743" s="185"/>
      <c r="F743" s="191" t="s">
        <v>273</v>
      </c>
      <c r="G743" s="185">
        <v>2</v>
      </c>
      <c r="H743" s="185">
        <v>2</v>
      </c>
      <c r="I743" s="186">
        <v>640.40000000000009</v>
      </c>
      <c r="J743" s="186">
        <v>589.20000000000005</v>
      </c>
      <c r="K743" s="186">
        <v>537.5</v>
      </c>
      <c r="L743" s="187">
        <v>31</v>
      </c>
      <c r="M743" s="185" t="s">
        <v>271</v>
      </c>
      <c r="N743" s="185" t="s">
        <v>275</v>
      </c>
      <c r="O743" s="188" t="s">
        <v>334</v>
      </c>
      <c r="P743" s="189">
        <v>70000</v>
      </c>
      <c r="Q743" s="189">
        <v>0</v>
      </c>
      <c r="R743" s="189">
        <v>0</v>
      </c>
      <c r="S743" s="189">
        <f t="shared" si="109"/>
        <v>70000</v>
      </c>
      <c r="T743" s="189">
        <f t="shared" si="111"/>
        <v>109.30668332292316</v>
      </c>
      <c r="U743" s="189">
        <f t="shared" si="119"/>
        <v>109.30668332292316</v>
      </c>
      <c r="V743" s="170">
        <f t="shared" si="113"/>
        <v>0</v>
      </c>
      <c r="W743" s="170"/>
      <c r="X743" s="170"/>
      <c r="Y743" s="173" t="e">
        <f t="shared" si="114"/>
        <v>#N/A</v>
      </c>
      <c r="AA743" s="173" t="e">
        <f t="shared" si="116"/>
        <v>#N/A</v>
      </c>
      <c r="AH743" s="173" t="e">
        <f t="shared" si="117"/>
        <v>#N/A</v>
      </c>
      <c r="AS743" s="173" t="e">
        <f t="shared" si="118"/>
        <v>#N/A</v>
      </c>
    </row>
    <row r="744" spans="1:45" s="173" customFormat="1" ht="36" customHeight="1" x14ac:dyDescent="0.9">
      <c r="A744" s="173">
        <v>1</v>
      </c>
      <c r="B744" s="91">
        <f>SUBTOTAL(103,$A$546:A744)</f>
        <v>197</v>
      </c>
      <c r="C744" s="90" t="s">
        <v>212</v>
      </c>
      <c r="D744" s="185">
        <v>1966</v>
      </c>
      <c r="E744" s="185"/>
      <c r="F744" s="191" t="s">
        <v>273</v>
      </c>
      <c r="G744" s="185">
        <v>2</v>
      </c>
      <c r="H744" s="185">
        <v>2</v>
      </c>
      <c r="I744" s="186">
        <v>781.6</v>
      </c>
      <c r="J744" s="186">
        <v>719.9</v>
      </c>
      <c r="K744" s="186">
        <v>670.3</v>
      </c>
      <c r="L744" s="187">
        <v>25</v>
      </c>
      <c r="M744" s="185" t="s">
        <v>271</v>
      </c>
      <c r="N744" s="185" t="s">
        <v>275</v>
      </c>
      <c r="O744" s="188" t="s">
        <v>334</v>
      </c>
      <c r="P744" s="189">
        <v>70000</v>
      </c>
      <c r="Q744" s="189">
        <v>0</v>
      </c>
      <c r="R744" s="189">
        <v>0</v>
      </c>
      <c r="S744" s="189">
        <f t="shared" si="109"/>
        <v>70000</v>
      </c>
      <c r="T744" s="189">
        <f t="shared" si="111"/>
        <v>89.559877175025591</v>
      </c>
      <c r="U744" s="189">
        <f t="shared" si="119"/>
        <v>89.559877175025591</v>
      </c>
      <c r="V744" s="170">
        <f t="shared" si="113"/>
        <v>0</v>
      </c>
      <c r="W744" s="170"/>
      <c r="X744" s="170"/>
      <c r="Y744" s="173" t="e">
        <f t="shared" si="114"/>
        <v>#N/A</v>
      </c>
      <c r="AA744" s="173" t="e">
        <f t="shared" si="116"/>
        <v>#N/A</v>
      </c>
      <c r="AH744" s="173" t="e">
        <f t="shared" si="117"/>
        <v>#N/A</v>
      </c>
      <c r="AS744" s="173" t="e">
        <f t="shared" si="118"/>
        <v>#N/A</v>
      </c>
    </row>
    <row r="745" spans="1:45" s="173" customFormat="1" ht="36" customHeight="1" x14ac:dyDescent="0.9">
      <c r="A745" s="173">
        <v>1</v>
      </c>
      <c r="B745" s="91">
        <f>SUBTOTAL(103,$A$546:A745)</f>
        <v>198</v>
      </c>
      <c r="C745" s="90" t="s">
        <v>441</v>
      </c>
      <c r="D745" s="185">
        <v>1963</v>
      </c>
      <c r="E745" s="185"/>
      <c r="F745" s="191" t="s">
        <v>273</v>
      </c>
      <c r="G745" s="185">
        <v>4</v>
      </c>
      <c r="H745" s="185">
        <v>3</v>
      </c>
      <c r="I745" s="186">
        <v>2141.94</v>
      </c>
      <c r="J745" s="186">
        <v>1753.08</v>
      </c>
      <c r="K745" s="186">
        <v>1544.6799999999998</v>
      </c>
      <c r="L745" s="187">
        <v>61</v>
      </c>
      <c r="M745" s="185" t="s">
        <v>271</v>
      </c>
      <c r="N745" s="185" t="s">
        <v>275</v>
      </c>
      <c r="O745" s="188" t="s">
        <v>1016</v>
      </c>
      <c r="P745" s="189">
        <v>180000</v>
      </c>
      <c r="Q745" s="189">
        <v>0</v>
      </c>
      <c r="R745" s="189">
        <v>0</v>
      </c>
      <c r="S745" s="189">
        <f t="shared" si="109"/>
        <v>180000</v>
      </c>
      <c r="T745" s="189">
        <f t="shared" si="111"/>
        <v>84.035967394044647</v>
      </c>
      <c r="U745" s="189">
        <f t="shared" si="119"/>
        <v>84.035967394044647</v>
      </c>
      <c r="V745" s="170">
        <f t="shared" si="113"/>
        <v>0</v>
      </c>
      <c r="W745" s="170"/>
      <c r="X745" s="170"/>
      <c r="Y745" s="173">
        <f t="shared" si="114"/>
        <v>2496.392616039665</v>
      </c>
      <c r="AA745" s="173">
        <f t="shared" si="116"/>
        <v>1024</v>
      </c>
      <c r="AH745" s="173" t="e">
        <f t="shared" si="117"/>
        <v>#N/A</v>
      </c>
      <c r="AS745" s="173" t="e">
        <f t="shared" si="118"/>
        <v>#N/A</v>
      </c>
    </row>
    <row r="746" spans="1:45" s="173" customFormat="1" ht="36" customHeight="1" x14ac:dyDescent="0.9">
      <c r="A746" s="173">
        <v>1</v>
      </c>
      <c r="B746" s="91">
        <f>SUBTOTAL(103,$A$546:A746)</f>
        <v>199</v>
      </c>
      <c r="C746" s="90" t="s">
        <v>442</v>
      </c>
      <c r="D746" s="185">
        <v>1974</v>
      </c>
      <c r="E746" s="185"/>
      <c r="F746" s="191" t="s">
        <v>273</v>
      </c>
      <c r="G746" s="185">
        <v>9</v>
      </c>
      <c r="H746" s="185">
        <v>2</v>
      </c>
      <c r="I746" s="186">
        <v>5409.4</v>
      </c>
      <c r="J746" s="186">
        <v>4377.3999999999996</v>
      </c>
      <c r="K746" s="186">
        <v>4227.7</v>
      </c>
      <c r="L746" s="187">
        <v>190</v>
      </c>
      <c r="M746" s="185" t="s">
        <v>271</v>
      </c>
      <c r="N746" s="185" t="s">
        <v>275</v>
      </c>
      <c r="O746" s="188" t="s">
        <v>1016</v>
      </c>
      <c r="P746" s="189">
        <v>100000</v>
      </c>
      <c r="Q746" s="189">
        <v>0</v>
      </c>
      <c r="R746" s="189">
        <v>0</v>
      </c>
      <c r="S746" s="189">
        <f t="shared" si="109"/>
        <v>100000</v>
      </c>
      <c r="T746" s="189">
        <f t="shared" si="111"/>
        <v>18.48633859577772</v>
      </c>
      <c r="U746" s="189">
        <f t="shared" si="119"/>
        <v>18.48633859577772</v>
      </c>
      <c r="V746" s="170">
        <f t="shared" si="113"/>
        <v>0</v>
      </c>
      <c r="W746" s="170"/>
      <c r="X746" s="170"/>
      <c r="Y746" s="173" t="e">
        <f t="shared" si="114"/>
        <v>#N/A</v>
      </c>
      <c r="AA746" s="173" t="e">
        <f t="shared" si="116"/>
        <v>#N/A</v>
      </c>
      <c r="AH746" s="173" t="e">
        <f t="shared" si="117"/>
        <v>#N/A</v>
      </c>
      <c r="AR746" s="173">
        <f>AS746*2207413/I746</f>
        <v>816.13968277442973</v>
      </c>
      <c r="AS746" s="173">
        <f t="shared" si="118"/>
        <v>2</v>
      </c>
    </row>
    <row r="747" spans="1:45" s="173" customFormat="1" ht="36" customHeight="1" x14ac:dyDescent="0.9">
      <c r="A747" s="173">
        <v>1</v>
      </c>
      <c r="B747" s="91">
        <f>SUBTOTAL(103,$A$546:A747)</f>
        <v>200</v>
      </c>
      <c r="C747" s="90" t="s">
        <v>443</v>
      </c>
      <c r="D747" s="185">
        <v>1958</v>
      </c>
      <c r="E747" s="185"/>
      <c r="F747" s="191" t="s">
        <v>273</v>
      </c>
      <c r="G747" s="185">
        <v>2</v>
      </c>
      <c r="H747" s="185">
        <v>2</v>
      </c>
      <c r="I747" s="186">
        <v>717.8</v>
      </c>
      <c r="J747" s="186">
        <v>649.4</v>
      </c>
      <c r="K747" s="186">
        <v>507.29999999999995</v>
      </c>
      <c r="L747" s="187">
        <v>47</v>
      </c>
      <c r="M747" s="185" t="s">
        <v>271</v>
      </c>
      <c r="N747" s="185" t="s">
        <v>275</v>
      </c>
      <c r="O747" s="188" t="s">
        <v>333</v>
      </c>
      <c r="P747" s="189">
        <v>150000</v>
      </c>
      <c r="Q747" s="189">
        <v>0</v>
      </c>
      <c r="R747" s="189">
        <v>0</v>
      </c>
      <c r="S747" s="189">
        <f t="shared" si="109"/>
        <v>150000</v>
      </c>
      <c r="T747" s="189">
        <f t="shared" si="111"/>
        <v>208.97185845639456</v>
      </c>
      <c r="U747" s="189">
        <f t="shared" si="119"/>
        <v>208.97185845639456</v>
      </c>
      <c r="V747" s="170">
        <f t="shared" si="113"/>
        <v>0</v>
      </c>
      <c r="W747" s="170"/>
      <c r="X747" s="170"/>
      <c r="Y747" s="173">
        <f t="shared" si="114"/>
        <v>4364.8370019504046</v>
      </c>
      <c r="AA747" s="173">
        <f t="shared" si="116"/>
        <v>600</v>
      </c>
      <c r="AH747" s="173" t="e">
        <f t="shared" si="117"/>
        <v>#N/A</v>
      </c>
      <c r="AS747" s="173" t="e">
        <f t="shared" si="118"/>
        <v>#N/A</v>
      </c>
    </row>
    <row r="748" spans="1:45" s="173" customFormat="1" ht="36" customHeight="1" x14ac:dyDescent="0.9">
      <c r="A748" s="173">
        <v>1</v>
      </c>
      <c r="B748" s="91">
        <f>SUBTOTAL(103,$A$546:A748)</f>
        <v>201</v>
      </c>
      <c r="C748" s="90" t="s">
        <v>444</v>
      </c>
      <c r="D748" s="185">
        <v>1956</v>
      </c>
      <c r="E748" s="185"/>
      <c r="F748" s="191" t="s">
        <v>332</v>
      </c>
      <c r="G748" s="185">
        <v>2</v>
      </c>
      <c r="H748" s="185">
        <v>3</v>
      </c>
      <c r="I748" s="186">
        <v>1239.2</v>
      </c>
      <c r="J748" s="186">
        <v>932.1</v>
      </c>
      <c r="K748" s="186">
        <v>643.79999999999995</v>
      </c>
      <c r="L748" s="187">
        <v>44</v>
      </c>
      <c r="M748" s="185" t="s">
        <v>271</v>
      </c>
      <c r="N748" s="185" t="s">
        <v>275</v>
      </c>
      <c r="O748" s="188" t="s">
        <v>329</v>
      </c>
      <c r="P748" s="189">
        <v>150000</v>
      </c>
      <c r="Q748" s="189">
        <v>0</v>
      </c>
      <c r="R748" s="189">
        <v>0</v>
      </c>
      <c r="S748" s="189">
        <f t="shared" si="109"/>
        <v>150000</v>
      </c>
      <c r="T748" s="189">
        <f t="shared" si="111"/>
        <v>121.0458360232408</v>
      </c>
      <c r="U748" s="189">
        <f t="shared" si="119"/>
        <v>121.0458360232408</v>
      </c>
      <c r="V748" s="170">
        <f t="shared" si="113"/>
        <v>0</v>
      </c>
      <c r="W748" s="170"/>
      <c r="X748" s="170"/>
      <c r="Y748" s="173">
        <f t="shared" si="114"/>
        <v>3147.744189799871</v>
      </c>
      <c r="AA748" s="173">
        <f t="shared" si="116"/>
        <v>747</v>
      </c>
      <c r="AH748" s="173" t="e">
        <f t="shared" si="117"/>
        <v>#N/A</v>
      </c>
      <c r="AS748" s="173" t="e">
        <f t="shared" si="118"/>
        <v>#N/A</v>
      </c>
    </row>
    <row r="749" spans="1:45" s="173" customFormat="1" ht="36" customHeight="1" x14ac:dyDescent="0.9">
      <c r="A749" s="173">
        <v>1</v>
      </c>
      <c r="B749" s="91">
        <f>SUBTOTAL(103,$A$546:A749)</f>
        <v>202</v>
      </c>
      <c r="C749" s="90" t="s">
        <v>445</v>
      </c>
      <c r="D749" s="185">
        <v>1968</v>
      </c>
      <c r="E749" s="185"/>
      <c r="F749" s="191" t="s">
        <v>273</v>
      </c>
      <c r="G749" s="185">
        <v>3</v>
      </c>
      <c r="H749" s="185">
        <v>2</v>
      </c>
      <c r="I749" s="186">
        <v>1032.5</v>
      </c>
      <c r="J749" s="186">
        <v>644</v>
      </c>
      <c r="K749" s="186">
        <v>445.9</v>
      </c>
      <c r="L749" s="187">
        <v>76</v>
      </c>
      <c r="M749" s="185" t="s">
        <v>271</v>
      </c>
      <c r="N749" s="185" t="s">
        <v>275</v>
      </c>
      <c r="O749" s="188" t="s">
        <v>336</v>
      </c>
      <c r="P749" s="189">
        <v>120000</v>
      </c>
      <c r="Q749" s="189">
        <v>0</v>
      </c>
      <c r="R749" s="189">
        <v>0</v>
      </c>
      <c r="S749" s="189">
        <f t="shared" si="109"/>
        <v>120000</v>
      </c>
      <c r="T749" s="189">
        <f t="shared" si="111"/>
        <v>116.22276029055691</v>
      </c>
      <c r="U749" s="189">
        <f t="shared" si="119"/>
        <v>116.22276029055691</v>
      </c>
      <c r="V749" s="170">
        <f t="shared" si="113"/>
        <v>0</v>
      </c>
      <c r="W749" s="170"/>
      <c r="X749" s="170"/>
      <c r="Y749" s="173">
        <f t="shared" si="114"/>
        <v>2442.7403389830506</v>
      </c>
      <c r="AA749" s="173">
        <f t="shared" si="116"/>
        <v>483</v>
      </c>
      <c r="AH749" s="173" t="e">
        <f t="shared" si="117"/>
        <v>#N/A</v>
      </c>
      <c r="AS749" s="173" t="e">
        <f t="shared" si="118"/>
        <v>#N/A</v>
      </c>
    </row>
    <row r="750" spans="1:45" s="173" customFormat="1" ht="36" customHeight="1" x14ac:dyDescent="0.9">
      <c r="A750" s="173">
        <v>1</v>
      </c>
      <c r="B750" s="91">
        <f>SUBTOTAL(103,$A$546:A750)</f>
        <v>203</v>
      </c>
      <c r="C750" s="90" t="s">
        <v>446</v>
      </c>
      <c r="D750" s="185">
        <v>1969</v>
      </c>
      <c r="E750" s="185"/>
      <c r="F750" s="191" t="s">
        <v>273</v>
      </c>
      <c r="G750" s="185">
        <v>5</v>
      </c>
      <c r="H750" s="185">
        <v>6</v>
      </c>
      <c r="I750" s="186">
        <v>5048.3000000000011</v>
      </c>
      <c r="J750" s="186">
        <v>4487.6000000000004</v>
      </c>
      <c r="K750" s="186">
        <v>3957.13</v>
      </c>
      <c r="L750" s="187">
        <v>204</v>
      </c>
      <c r="M750" s="185" t="s">
        <v>271</v>
      </c>
      <c r="N750" s="185" t="s">
        <v>275</v>
      </c>
      <c r="O750" s="188" t="s">
        <v>336</v>
      </c>
      <c r="P750" s="189">
        <v>180000</v>
      </c>
      <c r="Q750" s="189">
        <v>0</v>
      </c>
      <c r="R750" s="189">
        <v>0</v>
      </c>
      <c r="S750" s="189">
        <f t="shared" si="109"/>
        <v>180000</v>
      </c>
      <c r="T750" s="189">
        <f t="shared" si="111"/>
        <v>35.655567220648528</v>
      </c>
      <c r="U750" s="189">
        <f t="shared" si="119"/>
        <v>35.655567220648528</v>
      </c>
      <c r="V750" s="170">
        <f t="shared" si="113"/>
        <v>0</v>
      </c>
      <c r="W750" s="170"/>
      <c r="X750" s="170"/>
      <c r="Y750" s="173">
        <f t="shared" si="114"/>
        <v>1552.5863756115916</v>
      </c>
      <c r="AA750" s="173">
        <f t="shared" si="116"/>
        <v>1501</v>
      </c>
      <c r="AH750" s="173" t="e">
        <f t="shared" si="117"/>
        <v>#N/A</v>
      </c>
      <c r="AS750" s="173" t="e">
        <f t="shared" si="118"/>
        <v>#N/A</v>
      </c>
    </row>
    <row r="751" spans="1:45" s="173" customFormat="1" ht="36" customHeight="1" x14ac:dyDescent="0.9">
      <c r="A751" s="173">
        <v>1</v>
      </c>
      <c r="B751" s="91">
        <f>SUBTOTAL(103,$A$546:A751)</f>
        <v>204</v>
      </c>
      <c r="C751" s="90" t="s">
        <v>447</v>
      </c>
      <c r="D751" s="185">
        <v>1943</v>
      </c>
      <c r="E751" s="185"/>
      <c r="F751" s="191" t="s">
        <v>273</v>
      </c>
      <c r="G751" s="185">
        <v>2</v>
      </c>
      <c r="H751" s="185">
        <v>2</v>
      </c>
      <c r="I751" s="186">
        <v>715.9</v>
      </c>
      <c r="J751" s="186">
        <v>646.9</v>
      </c>
      <c r="K751" s="186">
        <v>547.55999999999995</v>
      </c>
      <c r="L751" s="187">
        <v>35</v>
      </c>
      <c r="M751" s="185" t="s">
        <v>271</v>
      </c>
      <c r="N751" s="185" t="s">
        <v>275</v>
      </c>
      <c r="O751" s="188" t="s">
        <v>333</v>
      </c>
      <c r="P751" s="189">
        <v>150000</v>
      </c>
      <c r="Q751" s="189">
        <v>0</v>
      </c>
      <c r="R751" s="189">
        <v>0</v>
      </c>
      <c r="S751" s="189">
        <f t="shared" si="109"/>
        <v>150000</v>
      </c>
      <c r="T751" s="189">
        <f t="shared" si="111"/>
        <v>209.52647017739909</v>
      </c>
      <c r="U751" s="189">
        <f t="shared" si="119"/>
        <v>209.52647017739909</v>
      </c>
      <c r="V751" s="170">
        <f t="shared" si="113"/>
        <v>0</v>
      </c>
      <c r="W751" s="170"/>
      <c r="X751" s="170"/>
      <c r="Y751" s="173">
        <f t="shared" si="114"/>
        <v>4376.4212878893704</v>
      </c>
      <c r="AA751" s="173">
        <f t="shared" si="116"/>
        <v>600</v>
      </c>
      <c r="AH751" s="173" t="e">
        <f t="shared" si="117"/>
        <v>#N/A</v>
      </c>
      <c r="AS751" s="173" t="e">
        <f t="shared" si="118"/>
        <v>#N/A</v>
      </c>
    </row>
    <row r="752" spans="1:45" s="173" customFormat="1" ht="36" customHeight="1" x14ac:dyDescent="0.9">
      <c r="A752" s="173">
        <v>1</v>
      </c>
      <c r="B752" s="91">
        <f>SUBTOTAL(103,$A$546:A752)</f>
        <v>205</v>
      </c>
      <c r="C752" s="90" t="s">
        <v>448</v>
      </c>
      <c r="D752" s="185">
        <v>1917</v>
      </c>
      <c r="E752" s="185"/>
      <c r="F752" s="191" t="s">
        <v>338</v>
      </c>
      <c r="G752" s="185">
        <v>2</v>
      </c>
      <c r="H752" s="185">
        <v>2</v>
      </c>
      <c r="I752" s="186">
        <v>643.4</v>
      </c>
      <c r="J752" s="186">
        <v>521.79999999999995</v>
      </c>
      <c r="K752" s="186">
        <v>423.09999999999997</v>
      </c>
      <c r="L752" s="187">
        <v>21</v>
      </c>
      <c r="M752" s="185" t="s">
        <v>271</v>
      </c>
      <c r="N752" s="185" t="s">
        <v>275</v>
      </c>
      <c r="O752" s="188" t="s">
        <v>329</v>
      </c>
      <c r="P752" s="189">
        <v>120000</v>
      </c>
      <c r="Q752" s="189">
        <v>0</v>
      </c>
      <c r="R752" s="189">
        <v>0</v>
      </c>
      <c r="S752" s="189">
        <f t="shared" si="109"/>
        <v>120000</v>
      </c>
      <c r="T752" s="189">
        <f t="shared" si="111"/>
        <v>186.50917003419335</v>
      </c>
      <c r="U752" s="189">
        <f t="shared" si="119"/>
        <v>186.50917003419335</v>
      </c>
      <c r="V752" s="170">
        <f t="shared" si="113"/>
        <v>0</v>
      </c>
      <c r="W752" s="170"/>
      <c r="X752" s="170"/>
      <c r="Y752" s="173">
        <f t="shared" si="114"/>
        <v>2994.7842710599939</v>
      </c>
      <c r="AA752" s="173">
        <f t="shared" si="116"/>
        <v>369</v>
      </c>
      <c r="AH752" s="173" t="e">
        <f t="shared" si="117"/>
        <v>#N/A</v>
      </c>
      <c r="AS752" s="173" t="e">
        <f t="shared" si="118"/>
        <v>#N/A</v>
      </c>
    </row>
    <row r="753" spans="1:45" s="173" customFormat="1" ht="36" customHeight="1" x14ac:dyDescent="0.9">
      <c r="A753" s="173">
        <v>1</v>
      </c>
      <c r="B753" s="91">
        <f>SUBTOTAL(103,$A$546:A753)</f>
        <v>206</v>
      </c>
      <c r="C753" s="90" t="s">
        <v>214</v>
      </c>
      <c r="D753" s="185">
        <v>1967</v>
      </c>
      <c r="E753" s="185"/>
      <c r="F753" s="191" t="s">
        <v>273</v>
      </c>
      <c r="G753" s="185">
        <v>2</v>
      </c>
      <c r="H753" s="185">
        <v>2</v>
      </c>
      <c r="I753" s="186">
        <v>678.4</v>
      </c>
      <c r="J753" s="186">
        <v>629.79999999999995</v>
      </c>
      <c r="K753" s="186">
        <v>589.79999999999995</v>
      </c>
      <c r="L753" s="187">
        <v>37</v>
      </c>
      <c r="M753" s="185" t="s">
        <v>271</v>
      </c>
      <c r="N753" s="185" t="s">
        <v>275</v>
      </c>
      <c r="O753" s="188" t="s">
        <v>335</v>
      </c>
      <c r="P753" s="189">
        <v>150000</v>
      </c>
      <c r="Q753" s="189">
        <v>0</v>
      </c>
      <c r="R753" s="189">
        <v>0</v>
      </c>
      <c r="S753" s="189">
        <f t="shared" si="109"/>
        <v>150000</v>
      </c>
      <c r="T753" s="189">
        <f t="shared" si="111"/>
        <v>221.10849056603774</v>
      </c>
      <c r="U753" s="189">
        <f t="shared" si="119"/>
        <v>221.10849056603774</v>
      </c>
      <c r="V753" s="170">
        <f t="shared" si="113"/>
        <v>0</v>
      </c>
      <c r="W753" s="170"/>
      <c r="X753" s="170"/>
      <c r="Y753" s="173">
        <f t="shared" si="114"/>
        <v>4041.0451061320755</v>
      </c>
      <c r="AA753" s="173">
        <f t="shared" si="116"/>
        <v>525</v>
      </c>
      <c r="AH753" s="173" t="e">
        <f t="shared" si="117"/>
        <v>#N/A</v>
      </c>
      <c r="AS753" s="173" t="e">
        <f t="shared" si="118"/>
        <v>#N/A</v>
      </c>
    </row>
    <row r="754" spans="1:45" s="173" customFormat="1" ht="36" customHeight="1" x14ac:dyDescent="0.9">
      <c r="A754" s="173">
        <v>1</v>
      </c>
      <c r="B754" s="91">
        <f>SUBTOTAL(103,$A$546:A754)</f>
        <v>207</v>
      </c>
      <c r="C754" s="90" t="s">
        <v>213</v>
      </c>
      <c r="D754" s="185">
        <v>1975</v>
      </c>
      <c r="E754" s="185"/>
      <c r="F754" s="191" t="s">
        <v>273</v>
      </c>
      <c r="G754" s="185">
        <v>2</v>
      </c>
      <c r="H754" s="185">
        <v>2</v>
      </c>
      <c r="I754" s="186">
        <v>817.4</v>
      </c>
      <c r="J754" s="186">
        <v>756.3</v>
      </c>
      <c r="K754" s="186">
        <v>652</v>
      </c>
      <c r="L754" s="187">
        <v>43</v>
      </c>
      <c r="M754" s="185" t="s">
        <v>271</v>
      </c>
      <c r="N754" s="185" t="s">
        <v>275</v>
      </c>
      <c r="O754" s="188" t="s">
        <v>335</v>
      </c>
      <c r="P754" s="189">
        <v>150000</v>
      </c>
      <c r="Q754" s="189">
        <v>0</v>
      </c>
      <c r="R754" s="189">
        <v>0</v>
      </c>
      <c r="S754" s="189">
        <f t="shared" si="109"/>
        <v>150000</v>
      </c>
      <c r="T754" s="189">
        <f t="shared" si="111"/>
        <v>183.50868607780768</v>
      </c>
      <c r="U754" s="189">
        <f t="shared" si="119"/>
        <v>183.50868607780768</v>
      </c>
      <c r="V754" s="170">
        <f t="shared" si="113"/>
        <v>0</v>
      </c>
      <c r="W754" s="170"/>
      <c r="X754" s="170"/>
      <c r="Y754" s="173">
        <f t="shared" si="114"/>
        <v>3922.4188891607541</v>
      </c>
      <c r="AA754" s="173">
        <f t="shared" si="116"/>
        <v>614</v>
      </c>
      <c r="AH754" s="173" t="e">
        <f t="shared" si="117"/>
        <v>#N/A</v>
      </c>
      <c r="AS754" s="173" t="e">
        <f t="shared" si="118"/>
        <v>#N/A</v>
      </c>
    </row>
    <row r="755" spans="1:45" s="173" customFormat="1" ht="36" customHeight="1" x14ac:dyDescent="0.9">
      <c r="A755" s="173">
        <v>1</v>
      </c>
      <c r="B755" s="91">
        <f>SUBTOTAL(103,$A$546:A755)</f>
        <v>208</v>
      </c>
      <c r="C755" s="90" t="s">
        <v>450</v>
      </c>
      <c r="D755" s="185">
        <v>1950</v>
      </c>
      <c r="E755" s="185"/>
      <c r="F755" s="191" t="s">
        <v>273</v>
      </c>
      <c r="G755" s="185">
        <v>2</v>
      </c>
      <c r="H755" s="185">
        <v>1</v>
      </c>
      <c r="I755" s="186">
        <v>411.15</v>
      </c>
      <c r="J755" s="186">
        <v>369.45</v>
      </c>
      <c r="K755" s="186">
        <v>369.45</v>
      </c>
      <c r="L755" s="187">
        <v>17</v>
      </c>
      <c r="M755" s="185" t="s">
        <v>271</v>
      </c>
      <c r="N755" s="185" t="s">
        <v>275</v>
      </c>
      <c r="O755" s="188" t="s">
        <v>329</v>
      </c>
      <c r="P755" s="189">
        <v>120000</v>
      </c>
      <c r="Q755" s="189">
        <v>0</v>
      </c>
      <c r="R755" s="189">
        <v>0</v>
      </c>
      <c r="S755" s="189">
        <f t="shared" si="109"/>
        <v>120000</v>
      </c>
      <c r="T755" s="189">
        <f t="shared" si="111"/>
        <v>291.86428310835464</v>
      </c>
      <c r="U755" s="189">
        <f t="shared" si="119"/>
        <v>291.86428310835464</v>
      </c>
      <c r="V755" s="170">
        <f t="shared" si="113"/>
        <v>0</v>
      </c>
      <c r="W755" s="170"/>
      <c r="X755" s="170"/>
      <c r="Y755" s="173">
        <f t="shared" si="114"/>
        <v>4699.1754834002195</v>
      </c>
      <c r="AA755" s="173">
        <f t="shared" si="116"/>
        <v>370</v>
      </c>
      <c r="AH755" s="173" t="e">
        <f t="shared" si="117"/>
        <v>#N/A</v>
      </c>
      <c r="AS755" s="173" t="e">
        <f t="shared" si="118"/>
        <v>#N/A</v>
      </c>
    </row>
    <row r="756" spans="1:45" s="173" customFormat="1" ht="36" customHeight="1" x14ac:dyDescent="0.9">
      <c r="A756" s="173">
        <v>1</v>
      </c>
      <c r="B756" s="91">
        <f>SUBTOTAL(103,$A$546:A756)</f>
        <v>209</v>
      </c>
      <c r="C756" s="90" t="s">
        <v>451</v>
      </c>
      <c r="D756" s="185">
        <v>1966</v>
      </c>
      <c r="E756" s="185"/>
      <c r="F756" s="191" t="s">
        <v>273</v>
      </c>
      <c r="G756" s="185">
        <v>2</v>
      </c>
      <c r="H756" s="185">
        <v>2</v>
      </c>
      <c r="I756" s="186">
        <v>667.6</v>
      </c>
      <c r="J756" s="186">
        <v>626.5</v>
      </c>
      <c r="K756" s="186">
        <v>586.70000000000005</v>
      </c>
      <c r="L756" s="187">
        <v>37</v>
      </c>
      <c r="M756" s="185" t="s">
        <v>271</v>
      </c>
      <c r="N756" s="185" t="s">
        <v>275</v>
      </c>
      <c r="O756" s="188" t="s">
        <v>335</v>
      </c>
      <c r="P756" s="189">
        <v>150000</v>
      </c>
      <c r="Q756" s="189">
        <v>0</v>
      </c>
      <c r="R756" s="189">
        <v>0</v>
      </c>
      <c r="S756" s="189">
        <f t="shared" si="109"/>
        <v>150000</v>
      </c>
      <c r="T756" s="189">
        <f t="shared" si="111"/>
        <v>224.68544038346315</v>
      </c>
      <c r="U756" s="189">
        <f t="shared" si="119"/>
        <v>224.68544038346315</v>
      </c>
      <c r="V756" s="170">
        <f t="shared" si="113"/>
        <v>0</v>
      </c>
      <c r="W756" s="170"/>
      <c r="X756" s="170"/>
      <c r="Y756" s="173">
        <f t="shared" si="114"/>
        <v>4145.5272618334329</v>
      </c>
      <c r="AA756" s="173">
        <f t="shared" si="116"/>
        <v>530</v>
      </c>
      <c r="AH756" s="173" t="e">
        <f t="shared" si="117"/>
        <v>#N/A</v>
      </c>
      <c r="AS756" s="173" t="e">
        <f t="shared" si="118"/>
        <v>#N/A</v>
      </c>
    </row>
    <row r="757" spans="1:45" s="173" customFormat="1" ht="36" customHeight="1" x14ac:dyDescent="0.9">
      <c r="A757" s="173">
        <v>1</v>
      </c>
      <c r="B757" s="91">
        <f>SUBTOTAL(103,$A$546:A757)</f>
        <v>210</v>
      </c>
      <c r="C757" s="90" t="s">
        <v>452</v>
      </c>
      <c r="D757" s="185">
        <v>1977</v>
      </c>
      <c r="E757" s="185"/>
      <c r="F757" s="191" t="s">
        <v>273</v>
      </c>
      <c r="G757" s="185">
        <v>9</v>
      </c>
      <c r="H757" s="185">
        <v>1</v>
      </c>
      <c r="I757" s="186">
        <v>2576</v>
      </c>
      <c r="J757" s="186">
        <v>2212.6999999999998</v>
      </c>
      <c r="K757" s="186">
        <v>2123.6999999999998</v>
      </c>
      <c r="L757" s="187">
        <v>106</v>
      </c>
      <c r="M757" s="185" t="s">
        <v>271</v>
      </c>
      <c r="N757" s="185" t="s">
        <v>275</v>
      </c>
      <c r="O757" s="188" t="s">
        <v>335</v>
      </c>
      <c r="P757" s="189">
        <v>120000</v>
      </c>
      <c r="Q757" s="189">
        <v>0</v>
      </c>
      <c r="R757" s="189">
        <v>0</v>
      </c>
      <c r="S757" s="189">
        <f t="shared" si="109"/>
        <v>120000</v>
      </c>
      <c r="T757" s="189">
        <f t="shared" si="111"/>
        <v>46.58385093167702</v>
      </c>
      <c r="U757" s="189">
        <f t="shared" si="119"/>
        <v>46.58385093167702</v>
      </c>
      <c r="V757" s="170">
        <f t="shared" si="113"/>
        <v>0</v>
      </c>
      <c r="W757" s="170"/>
      <c r="X757" s="170"/>
      <c r="Y757" s="173">
        <f t="shared" si="114"/>
        <v>802.7301242236025</v>
      </c>
      <c r="AA757" s="173">
        <f t="shared" si="116"/>
        <v>396</v>
      </c>
      <c r="AH757" s="173" t="e">
        <f t="shared" si="117"/>
        <v>#N/A</v>
      </c>
      <c r="AS757" s="173" t="e">
        <f t="shared" si="118"/>
        <v>#N/A</v>
      </c>
    </row>
    <row r="758" spans="1:45" s="173" customFormat="1" ht="36" customHeight="1" x14ac:dyDescent="0.9">
      <c r="A758" s="173">
        <v>1</v>
      </c>
      <c r="B758" s="91">
        <f>SUBTOTAL(103,$A$546:A758)</f>
        <v>211</v>
      </c>
      <c r="C758" s="90" t="s">
        <v>839</v>
      </c>
      <c r="D758" s="185">
        <v>1988</v>
      </c>
      <c r="E758" s="185"/>
      <c r="F758" s="191" t="s">
        <v>273</v>
      </c>
      <c r="G758" s="185">
        <v>9</v>
      </c>
      <c r="H758" s="185">
        <v>3</v>
      </c>
      <c r="I758" s="186">
        <v>6719</v>
      </c>
      <c r="J758" s="186">
        <v>5795.4</v>
      </c>
      <c r="K758" s="186">
        <v>5264.2</v>
      </c>
      <c r="L758" s="187">
        <v>304</v>
      </c>
      <c r="M758" s="185" t="s">
        <v>271</v>
      </c>
      <c r="N758" s="185" t="s">
        <v>275</v>
      </c>
      <c r="O758" s="188" t="s">
        <v>1013</v>
      </c>
      <c r="P758" s="189">
        <v>100000</v>
      </c>
      <c r="Q758" s="189">
        <v>0</v>
      </c>
      <c r="R758" s="189">
        <v>0</v>
      </c>
      <c r="S758" s="189">
        <f t="shared" si="109"/>
        <v>100000</v>
      </c>
      <c r="T758" s="189">
        <f t="shared" si="111"/>
        <v>14.883167137966959</v>
      </c>
      <c r="U758" s="189">
        <f t="shared" si="119"/>
        <v>14.883167137966959</v>
      </c>
      <c r="V758" s="170">
        <f t="shared" si="113"/>
        <v>0</v>
      </c>
      <c r="W758" s="170"/>
      <c r="X758" s="170"/>
      <c r="Y758" s="173" t="e">
        <f t="shared" si="114"/>
        <v>#N/A</v>
      </c>
      <c r="AA758" s="173" t="e">
        <f t="shared" si="116"/>
        <v>#N/A</v>
      </c>
      <c r="AH758" s="173" t="e">
        <f t="shared" si="117"/>
        <v>#N/A</v>
      </c>
      <c r="AR758" s="173">
        <f>AS758*2207413/I758</f>
        <v>985.59889864563183</v>
      </c>
      <c r="AS758" s="173">
        <f t="shared" si="118"/>
        <v>3</v>
      </c>
    </row>
    <row r="759" spans="1:45" s="173" customFormat="1" ht="36" customHeight="1" x14ac:dyDescent="0.9">
      <c r="B759" s="90" t="s">
        <v>785</v>
      </c>
      <c r="C759" s="90"/>
      <c r="D759" s="185" t="s">
        <v>915</v>
      </c>
      <c r="E759" s="185" t="s">
        <v>915</v>
      </c>
      <c r="F759" s="185" t="s">
        <v>915</v>
      </c>
      <c r="G759" s="185" t="s">
        <v>915</v>
      </c>
      <c r="H759" s="185" t="s">
        <v>915</v>
      </c>
      <c r="I759" s="186">
        <f>SUM(I760:I781)</f>
        <v>78441.91</v>
      </c>
      <c r="J759" s="186">
        <f>SUM(J760:J781)</f>
        <v>58717.399999999994</v>
      </c>
      <c r="K759" s="186">
        <f>SUM(K760:K781)</f>
        <v>57135.099999999991</v>
      </c>
      <c r="L759" s="187">
        <f>SUM(L760:L781)</f>
        <v>2504</v>
      </c>
      <c r="M759" s="185" t="s">
        <v>915</v>
      </c>
      <c r="N759" s="185" t="s">
        <v>915</v>
      </c>
      <c r="O759" s="188" t="s">
        <v>915</v>
      </c>
      <c r="P759" s="186">
        <v>55130603.349999994</v>
      </c>
      <c r="Q759" s="186">
        <f>SUM(Q760:Q781)</f>
        <v>0</v>
      </c>
      <c r="R759" s="186">
        <f>SUM(R760:R781)</f>
        <v>0</v>
      </c>
      <c r="S759" s="186">
        <f>SUM(S760:S781)</f>
        <v>55130603.349999994</v>
      </c>
      <c r="T759" s="189">
        <f t="shared" si="111"/>
        <v>702.82076698540345</v>
      </c>
      <c r="U759" s="189">
        <f>MAX(U760:U781)</f>
        <v>8874.2092689918791</v>
      </c>
      <c r="V759" s="170">
        <f t="shared" si="113"/>
        <v>8171.3885020064754</v>
      </c>
      <c r="W759" s="170"/>
      <c r="X759" s="170"/>
      <c r="Y759" s="173" t="e">
        <f t="shared" si="114"/>
        <v>#N/A</v>
      </c>
      <c r="AA759" s="173" t="e">
        <f t="shared" si="116"/>
        <v>#N/A</v>
      </c>
      <c r="AH759" s="173" t="e">
        <f t="shared" si="117"/>
        <v>#N/A</v>
      </c>
      <c r="AS759" s="173" t="e">
        <f t="shared" si="118"/>
        <v>#N/A</v>
      </c>
    </row>
    <row r="760" spans="1:45" s="173" customFormat="1" ht="36" customHeight="1" x14ac:dyDescent="0.9">
      <c r="A760" s="173">
        <v>1</v>
      </c>
      <c r="B760" s="91">
        <f>SUBTOTAL(103,$A$546:A760)</f>
        <v>212</v>
      </c>
      <c r="C760" s="90" t="s">
        <v>798</v>
      </c>
      <c r="D760" s="185">
        <v>1959</v>
      </c>
      <c r="E760" s="185"/>
      <c r="F760" s="191" t="s">
        <v>344</v>
      </c>
      <c r="G760" s="185">
        <v>3</v>
      </c>
      <c r="H760" s="185">
        <v>2</v>
      </c>
      <c r="I760" s="186">
        <v>1267.5</v>
      </c>
      <c r="J760" s="186">
        <v>1160</v>
      </c>
      <c r="K760" s="186">
        <v>785.9</v>
      </c>
      <c r="L760" s="187">
        <v>31</v>
      </c>
      <c r="M760" s="185" t="s">
        <v>271</v>
      </c>
      <c r="N760" s="185" t="s">
        <v>272</v>
      </c>
      <c r="O760" s="188" t="s">
        <v>274</v>
      </c>
      <c r="P760" s="189">
        <v>3593042</v>
      </c>
      <c r="Q760" s="189">
        <v>0</v>
      </c>
      <c r="R760" s="189">
        <v>0</v>
      </c>
      <c r="S760" s="189">
        <f t="shared" ref="S760:S781" si="120">P760-Q760-R760</f>
        <v>3593042</v>
      </c>
      <c r="T760" s="189">
        <f t="shared" si="111"/>
        <v>2834.7471400394479</v>
      </c>
      <c r="U760" s="189">
        <f>Y760</f>
        <v>2842.6366863905328</v>
      </c>
      <c r="V760" s="170">
        <f t="shared" si="113"/>
        <v>7.8895463510848458</v>
      </c>
      <c r="W760" s="170"/>
      <c r="X760" s="170"/>
      <c r="Y760" s="173">
        <f t="shared" si="114"/>
        <v>2842.6366863905328</v>
      </c>
      <c r="AA760" s="173">
        <f t="shared" si="116"/>
        <v>690</v>
      </c>
      <c r="AH760" s="173" t="e">
        <f t="shared" si="117"/>
        <v>#N/A</v>
      </c>
      <c r="AS760" s="173" t="e">
        <f t="shared" si="118"/>
        <v>#N/A</v>
      </c>
    </row>
    <row r="761" spans="1:45" s="173" customFormat="1" ht="36" customHeight="1" x14ac:dyDescent="0.9">
      <c r="A761" s="173">
        <v>1</v>
      </c>
      <c r="B761" s="91">
        <f>SUBTOTAL(103,$A$546:A761)</f>
        <v>213</v>
      </c>
      <c r="C761" s="90" t="s">
        <v>799</v>
      </c>
      <c r="D761" s="185">
        <v>1992</v>
      </c>
      <c r="E761" s="185"/>
      <c r="F761" s="191" t="s">
        <v>326</v>
      </c>
      <c r="G761" s="185">
        <v>9</v>
      </c>
      <c r="H761" s="185">
        <v>3</v>
      </c>
      <c r="I761" s="186">
        <v>8073.1</v>
      </c>
      <c r="J761" s="186">
        <v>5829</v>
      </c>
      <c r="K761" s="186">
        <v>5829</v>
      </c>
      <c r="L761" s="187">
        <v>241</v>
      </c>
      <c r="M761" s="185" t="s">
        <v>271</v>
      </c>
      <c r="N761" s="185" t="s">
        <v>275</v>
      </c>
      <c r="O761" s="188" t="s">
        <v>826</v>
      </c>
      <c r="P761" s="189">
        <v>6443296.3899999997</v>
      </c>
      <c r="Q761" s="189">
        <v>0</v>
      </c>
      <c r="R761" s="189">
        <v>0</v>
      </c>
      <c r="S761" s="189">
        <f t="shared" si="120"/>
        <v>6443296.3899999997</v>
      </c>
      <c r="T761" s="189">
        <f t="shared" si="111"/>
        <v>798.11923424706731</v>
      </c>
      <c r="U761" s="189">
        <f>AR761</f>
        <v>820.28452515142874</v>
      </c>
      <c r="V761" s="170">
        <f t="shared" si="113"/>
        <v>22.165290904361427</v>
      </c>
      <c r="W761" s="170"/>
      <c r="X761" s="170"/>
      <c r="Y761" s="173" t="e">
        <f t="shared" si="114"/>
        <v>#N/A</v>
      </c>
      <c r="AA761" s="173" t="e">
        <f t="shared" si="116"/>
        <v>#N/A</v>
      </c>
      <c r="AH761" s="173" t="e">
        <f t="shared" si="117"/>
        <v>#N/A</v>
      </c>
      <c r="AR761" s="173">
        <f>AS761*2207413/I761</f>
        <v>820.28452515142874</v>
      </c>
      <c r="AS761" s="173">
        <f t="shared" si="118"/>
        <v>3</v>
      </c>
    </row>
    <row r="762" spans="1:45" s="173" customFormat="1" ht="36" customHeight="1" x14ac:dyDescent="0.9">
      <c r="A762" s="173">
        <v>1</v>
      </c>
      <c r="B762" s="91">
        <f>SUBTOTAL(103,$A$546:A762)</f>
        <v>214</v>
      </c>
      <c r="C762" s="90" t="s">
        <v>800</v>
      </c>
      <c r="D762" s="185">
        <v>1993</v>
      </c>
      <c r="E762" s="185"/>
      <c r="F762" s="191" t="s">
        <v>326</v>
      </c>
      <c r="G762" s="185">
        <v>9</v>
      </c>
      <c r="H762" s="185">
        <v>4</v>
      </c>
      <c r="I762" s="186">
        <v>11047.1</v>
      </c>
      <c r="J762" s="186">
        <v>7851.2</v>
      </c>
      <c r="K762" s="186">
        <v>7851.2</v>
      </c>
      <c r="L762" s="187">
        <v>267</v>
      </c>
      <c r="M762" s="185" t="s">
        <v>271</v>
      </c>
      <c r="N762" s="185" t="s">
        <v>275</v>
      </c>
      <c r="O762" s="188" t="s">
        <v>832</v>
      </c>
      <c r="P762" s="189">
        <v>8572796.0600000005</v>
      </c>
      <c r="Q762" s="189">
        <v>0</v>
      </c>
      <c r="R762" s="189">
        <v>0</v>
      </c>
      <c r="S762" s="189">
        <f t="shared" si="120"/>
        <v>8572796.0600000005</v>
      </c>
      <c r="T762" s="189">
        <f t="shared" si="111"/>
        <v>776.0223099274923</v>
      </c>
      <c r="U762" s="189">
        <f>AR762</f>
        <v>799.27329344352813</v>
      </c>
      <c r="V762" s="170">
        <f t="shared" si="113"/>
        <v>23.250983516035831</v>
      </c>
      <c r="W762" s="170"/>
      <c r="X762" s="170"/>
      <c r="Y762" s="173" t="e">
        <f t="shared" si="114"/>
        <v>#N/A</v>
      </c>
      <c r="AA762" s="173" t="e">
        <f t="shared" si="116"/>
        <v>#N/A</v>
      </c>
      <c r="AH762" s="173" t="e">
        <f t="shared" si="117"/>
        <v>#N/A</v>
      </c>
      <c r="AR762" s="173">
        <f>AS762*2207413/I762</f>
        <v>799.27329344352813</v>
      </c>
      <c r="AS762" s="173">
        <f t="shared" si="118"/>
        <v>4</v>
      </c>
    </row>
    <row r="763" spans="1:45" s="173" customFormat="1" ht="36" customHeight="1" x14ac:dyDescent="0.9">
      <c r="A763" s="173">
        <v>1</v>
      </c>
      <c r="B763" s="91">
        <f>SUBTOTAL(103,$A$546:A763)</f>
        <v>215</v>
      </c>
      <c r="C763" s="90" t="s">
        <v>1103</v>
      </c>
      <c r="D763" s="185">
        <v>1960</v>
      </c>
      <c r="E763" s="185"/>
      <c r="F763" s="191" t="s">
        <v>273</v>
      </c>
      <c r="G763" s="185">
        <v>3</v>
      </c>
      <c r="H763" s="185">
        <v>2</v>
      </c>
      <c r="I763" s="186">
        <v>1377.9</v>
      </c>
      <c r="J763" s="186">
        <v>966.6</v>
      </c>
      <c r="K763" s="186">
        <v>966.6</v>
      </c>
      <c r="L763" s="187">
        <v>28</v>
      </c>
      <c r="M763" s="185" t="s">
        <v>271</v>
      </c>
      <c r="N763" s="185" t="s">
        <v>272</v>
      </c>
      <c r="O763" s="188" t="s">
        <v>274</v>
      </c>
      <c r="P763" s="189">
        <v>2932000</v>
      </c>
      <c r="Q763" s="189">
        <v>0</v>
      </c>
      <c r="R763" s="189">
        <v>0</v>
      </c>
      <c r="S763" s="189">
        <f t="shared" si="120"/>
        <v>2932000</v>
      </c>
      <c r="T763" s="189">
        <f t="shared" si="111"/>
        <v>2127.8757529573986</v>
      </c>
      <c r="U763" s="189">
        <f>Y763</f>
        <v>2235.9111691704766</v>
      </c>
      <c r="V763" s="170">
        <f t="shared" si="113"/>
        <v>108.03541621307795</v>
      </c>
      <c r="W763" s="170"/>
      <c r="X763" s="170"/>
      <c r="Y763" s="173">
        <f t="shared" si="114"/>
        <v>2235.9111691704766</v>
      </c>
      <c r="AA763" s="173">
        <f t="shared" si="116"/>
        <v>590</v>
      </c>
      <c r="AH763" s="173" t="e">
        <f t="shared" si="117"/>
        <v>#N/A</v>
      </c>
      <c r="AS763" s="173" t="e">
        <f t="shared" si="118"/>
        <v>#N/A</v>
      </c>
    </row>
    <row r="764" spans="1:45" s="173" customFormat="1" ht="36" customHeight="1" x14ac:dyDescent="0.9">
      <c r="A764" s="173">
        <v>1</v>
      </c>
      <c r="B764" s="91">
        <f>SUBTOTAL(103,$A$546:A764)</f>
        <v>216</v>
      </c>
      <c r="C764" s="90" t="s">
        <v>802</v>
      </c>
      <c r="D764" s="185">
        <v>1994</v>
      </c>
      <c r="E764" s="185"/>
      <c r="F764" s="191" t="s">
        <v>326</v>
      </c>
      <c r="G764" s="185">
        <v>9</v>
      </c>
      <c r="H764" s="185">
        <v>2</v>
      </c>
      <c r="I764" s="186">
        <v>4866.8599999999997</v>
      </c>
      <c r="J764" s="186">
        <v>3886.2</v>
      </c>
      <c r="K764" s="186">
        <v>3886.2</v>
      </c>
      <c r="L764" s="187">
        <v>159</v>
      </c>
      <c r="M764" s="185" t="s">
        <v>271</v>
      </c>
      <c r="N764" s="185" t="s">
        <v>275</v>
      </c>
      <c r="O764" s="188" t="s">
        <v>828</v>
      </c>
      <c r="P764" s="189">
        <v>4291277.25</v>
      </c>
      <c r="Q764" s="189">
        <v>0</v>
      </c>
      <c r="R764" s="189">
        <v>0</v>
      </c>
      <c r="S764" s="189">
        <f t="shared" si="120"/>
        <v>4291277.25</v>
      </c>
      <c r="T764" s="189">
        <f t="shared" si="111"/>
        <v>881.73427014543267</v>
      </c>
      <c r="U764" s="189">
        <f>AR764</f>
        <v>907.11999112364038</v>
      </c>
      <c r="V764" s="170">
        <f t="shared" si="113"/>
        <v>25.385720978207701</v>
      </c>
      <c r="W764" s="170"/>
      <c r="X764" s="170"/>
      <c r="Y764" s="173" t="e">
        <f t="shared" si="114"/>
        <v>#N/A</v>
      </c>
      <c r="AA764" s="173" t="e">
        <f t="shared" si="116"/>
        <v>#N/A</v>
      </c>
      <c r="AH764" s="173" t="e">
        <f t="shared" si="117"/>
        <v>#N/A</v>
      </c>
      <c r="AR764" s="173">
        <f>AS764*2207413/I764</f>
        <v>907.11999112364038</v>
      </c>
      <c r="AS764" s="173">
        <f t="shared" si="118"/>
        <v>2</v>
      </c>
    </row>
    <row r="765" spans="1:45" s="173" customFormat="1" ht="36" customHeight="1" x14ac:dyDescent="0.9">
      <c r="A765" s="173">
        <v>1</v>
      </c>
      <c r="B765" s="91">
        <f>SUBTOTAL(103,$A$546:A765)</f>
        <v>217</v>
      </c>
      <c r="C765" s="90" t="s">
        <v>803</v>
      </c>
      <c r="D765" s="185">
        <v>1966</v>
      </c>
      <c r="E765" s="185"/>
      <c r="F765" s="191" t="s">
        <v>273</v>
      </c>
      <c r="G765" s="185">
        <v>4</v>
      </c>
      <c r="H765" s="185">
        <v>4</v>
      </c>
      <c r="I765" s="186">
        <v>3436.5</v>
      </c>
      <c r="J765" s="186">
        <v>2673</v>
      </c>
      <c r="K765" s="186">
        <v>2483.9</v>
      </c>
      <c r="L765" s="187">
        <v>109</v>
      </c>
      <c r="M765" s="185" t="s">
        <v>271</v>
      </c>
      <c r="N765" s="185" t="s">
        <v>275</v>
      </c>
      <c r="O765" s="188" t="s">
        <v>828</v>
      </c>
      <c r="P765" s="189">
        <v>5501631.04</v>
      </c>
      <c r="Q765" s="189">
        <v>0</v>
      </c>
      <c r="R765" s="189">
        <v>0</v>
      </c>
      <c r="S765" s="189">
        <f t="shared" si="120"/>
        <v>5501631.04</v>
      </c>
      <c r="T765" s="189">
        <f t="shared" si="111"/>
        <v>1600.9402124254329</v>
      </c>
      <c r="U765" s="189">
        <f>Y765</f>
        <v>1753.515844609341</v>
      </c>
      <c r="V765" s="170">
        <f t="shared" si="113"/>
        <v>152.57563218390806</v>
      </c>
      <c r="W765" s="170"/>
      <c r="X765" s="170"/>
      <c r="Y765" s="173">
        <f t="shared" si="114"/>
        <v>1753.515844609341</v>
      </c>
      <c r="AA765" s="173">
        <f t="shared" si="116"/>
        <v>1154</v>
      </c>
      <c r="AH765" s="173" t="e">
        <f t="shared" si="117"/>
        <v>#N/A</v>
      </c>
      <c r="AS765" s="173" t="e">
        <f t="shared" si="118"/>
        <v>#N/A</v>
      </c>
    </row>
    <row r="766" spans="1:45" s="173" customFormat="1" ht="36" customHeight="1" x14ac:dyDescent="0.9">
      <c r="A766" s="173">
        <v>1</v>
      </c>
      <c r="B766" s="91">
        <f>SUBTOTAL(103,$A$546:A766)</f>
        <v>218</v>
      </c>
      <c r="C766" s="90" t="s">
        <v>804</v>
      </c>
      <c r="D766" s="185">
        <v>1992</v>
      </c>
      <c r="E766" s="185"/>
      <c r="F766" s="191" t="s">
        <v>326</v>
      </c>
      <c r="G766" s="185">
        <v>9</v>
      </c>
      <c r="H766" s="185">
        <v>2</v>
      </c>
      <c r="I766" s="186">
        <v>4929.04</v>
      </c>
      <c r="J766" s="186">
        <v>3924.5</v>
      </c>
      <c r="K766" s="186">
        <v>3924.5</v>
      </c>
      <c r="L766" s="187">
        <v>180</v>
      </c>
      <c r="M766" s="185" t="s">
        <v>271</v>
      </c>
      <c r="N766" s="185" t="s">
        <v>275</v>
      </c>
      <c r="O766" s="188" t="s">
        <v>833</v>
      </c>
      <c r="P766" s="189">
        <v>4291478.9800000004</v>
      </c>
      <c r="Q766" s="189">
        <v>0</v>
      </c>
      <c r="R766" s="189">
        <v>0</v>
      </c>
      <c r="S766" s="189">
        <f t="shared" si="120"/>
        <v>4291478.9800000004</v>
      </c>
      <c r="T766" s="189">
        <f t="shared" si="111"/>
        <v>870.65209046792086</v>
      </c>
      <c r="U766" s="189">
        <f>AR766</f>
        <v>895.67664291626772</v>
      </c>
      <c r="V766" s="170">
        <f t="shared" si="113"/>
        <v>25.024552448346867</v>
      </c>
      <c r="W766" s="170"/>
      <c r="X766" s="170"/>
      <c r="Y766" s="173" t="e">
        <f t="shared" si="114"/>
        <v>#N/A</v>
      </c>
      <c r="AA766" s="173" t="e">
        <f t="shared" si="116"/>
        <v>#N/A</v>
      </c>
      <c r="AH766" s="173" t="e">
        <f t="shared" si="117"/>
        <v>#N/A</v>
      </c>
      <c r="AR766" s="173">
        <f>AS766*2207413/I766</f>
        <v>895.67664291626772</v>
      </c>
      <c r="AS766" s="173">
        <f t="shared" si="118"/>
        <v>2</v>
      </c>
    </row>
    <row r="767" spans="1:45" s="173" customFormat="1" ht="36" customHeight="1" x14ac:dyDescent="0.9">
      <c r="A767" s="173">
        <v>1</v>
      </c>
      <c r="B767" s="91">
        <f>SUBTOTAL(103,$A$546:A767)</f>
        <v>219</v>
      </c>
      <c r="C767" s="90" t="s">
        <v>805</v>
      </c>
      <c r="D767" s="185">
        <v>1990</v>
      </c>
      <c r="E767" s="185"/>
      <c r="F767" s="191" t="s">
        <v>273</v>
      </c>
      <c r="G767" s="185">
        <v>9</v>
      </c>
      <c r="H767" s="185">
        <v>1</v>
      </c>
      <c r="I767" s="186">
        <v>5846.4</v>
      </c>
      <c r="J767" s="186">
        <v>4863.8999999999996</v>
      </c>
      <c r="K767" s="186">
        <v>4863.8999999999996</v>
      </c>
      <c r="L767" s="187">
        <v>374</v>
      </c>
      <c r="M767" s="185" t="s">
        <v>271</v>
      </c>
      <c r="N767" s="185" t="s">
        <v>275</v>
      </c>
      <c r="O767" s="188" t="s">
        <v>834</v>
      </c>
      <c r="P767" s="189">
        <v>2226554.6800000002</v>
      </c>
      <c r="Q767" s="189">
        <v>0</v>
      </c>
      <c r="R767" s="189">
        <v>0</v>
      </c>
      <c r="S767" s="189">
        <f t="shared" si="120"/>
        <v>2226554.6800000002</v>
      </c>
      <c r="T767" s="189">
        <f t="shared" si="111"/>
        <v>380.84200191570886</v>
      </c>
      <c r="U767" s="189">
        <f>T767</f>
        <v>380.84200191570886</v>
      </c>
      <c r="V767" s="170">
        <f t="shared" si="113"/>
        <v>0</v>
      </c>
      <c r="W767" s="170"/>
      <c r="X767" s="170"/>
      <c r="Y767" s="173" t="e">
        <f t="shared" si="114"/>
        <v>#N/A</v>
      </c>
      <c r="AA767" s="173" t="e">
        <f t="shared" si="116"/>
        <v>#N/A</v>
      </c>
      <c r="AH767" s="173" t="e">
        <f t="shared" si="117"/>
        <v>#N/A</v>
      </c>
      <c r="AR767" s="173">
        <f>AS767*2207413/I767</f>
        <v>377.5679050355775</v>
      </c>
      <c r="AS767" s="173">
        <f t="shared" si="118"/>
        <v>1</v>
      </c>
    </row>
    <row r="768" spans="1:45" s="173" customFormat="1" ht="36" customHeight="1" x14ac:dyDescent="0.9">
      <c r="A768" s="173">
        <v>1</v>
      </c>
      <c r="B768" s="91">
        <f>SUBTOTAL(103,$A$546:A768)</f>
        <v>220</v>
      </c>
      <c r="C768" s="90" t="s">
        <v>1648</v>
      </c>
      <c r="D768" s="185">
        <v>1980</v>
      </c>
      <c r="E768" s="185"/>
      <c r="F768" s="191" t="s">
        <v>273</v>
      </c>
      <c r="G768" s="185">
        <v>5</v>
      </c>
      <c r="H768" s="185">
        <v>1</v>
      </c>
      <c r="I768" s="186">
        <v>2427.5</v>
      </c>
      <c r="J768" s="186">
        <v>2065.6999999999998</v>
      </c>
      <c r="K768" s="186">
        <f>J768-430.2</f>
        <v>1635.4999999999998</v>
      </c>
      <c r="L768" s="187">
        <v>58</v>
      </c>
      <c r="M768" s="185" t="s">
        <v>271</v>
      </c>
      <c r="N768" s="185" t="s">
        <v>272</v>
      </c>
      <c r="O768" s="188" t="s">
        <v>274</v>
      </c>
      <c r="P768" s="189">
        <v>3890000</v>
      </c>
      <c r="Q768" s="189">
        <v>0</v>
      </c>
      <c r="R768" s="189">
        <v>0</v>
      </c>
      <c r="S768" s="189">
        <f t="shared" si="120"/>
        <v>3890000</v>
      </c>
      <c r="T768" s="189">
        <f t="shared" si="111"/>
        <v>1602.4716786817714</v>
      </c>
      <c r="U768" s="189">
        <f>Y768</f>
        <v>1673.5573223480949</v>
      </c>
      <c r="V768" s="170">
        <f t="shared" si="113"/>
        <v>71.085643666323449</v>
      </c>
      <c r="W768" s="170"/>
      <c r="X768" s="170"/>
      <c r="Y768" s="173">
        <f t="shared" si="114"/>
        <v>1673.5573223480949</v>
      </c>
      <c r="AA768" s="173">
        <f t="shared" si="116"/>
        <v>778</v>
      </c>
      <c r="AH768" s="173" t="e">
        <f t="shared" si="117"/>
        <v>#N/A</v>
      </c>
      <c r="AS768" s="173" t="e">
        <f t="shared" si="118"/>
        <v>#N/A</v>
      </c>
    </row>
    <row r="769" spans="1:45" s="173" customFormat="1" ht="36" customHeight="1" x14ac:dyDescent="0.9">
      <c r="A769" s="173">
        <v>1</v>
      </c>
      <c r="B769" s="91">
        <f>SUBTOTAL(103,$A$546:A769)</f>
        <v>221</v>
      </c>
      <c r="C769" s="90" t="s">
        <v>1196</v>
      </c>
      <c r="D769" s="185">
        <v>1937</v>
      </c>
      <c r="E769" s="185"/>
      <c r="F769" s="191" t="s">
        <v>273</v>
      </c>
      <c r="G769" s="185" t="s">
        <v>316</v>
      </c>
      <c r="H769" s="185" t="s">
        <v>320</v>
      </c>
      <c r="I769" s="189">
        <v>1585.9</v>
      </c>
      <c r="J769" s="189">
        <v>1465.1</v>
      </c>
      <c r="K769" s="189">
        <v>1465.1</v>
      </c>
      <c r="L769" s="187">
        <v>39</v>
      </c>
      <c r="M769" s="185" t="s">
        <v>271</v>
      </c>
      <c r="N769" s="185" t="s">
        <v>272</v>
      </c>
      <c r="O769" s="188" t="s">
        <v>274</v>
      </c>
      <c r="P769" s="189">
        <v>7413621.0100000007</v>
      </c>
      <c r="Q769" s="189">
        <v>0</v>
      </c>
      <c r="R769" s="189">
        <v>0</v>
      </c>
      <c r="S769" s="189">
        <f>P769-Q769-R769</f>
        <v>7413621.0100000007</v>
      </c>
      <c r="T769" s="189">
        <f t="shared" si="111"/>
        <v>4674.7090043508424</v>
      </c>
      <c r="U769" s="189">
        <f>AG769</f>
        <v>8874.2092689918791</v>
      </c>
      <c r="V769" s="170">
        <f>U769-T769</f>
        <v>4199.5002646410367</v>
      </c>
      <c r="W769" s="170"/>
      <c r="X769" s="170"/>
      <c r="Y769" s="173" t="e">
        <f>AA769*5221.8/I769</f>
        <v>#N/A</v>
      </c>
      <c r="AA769" s="173" t="e">
        <f t="shared" si="116"/>
        <v>#N/A</v>
      </c>
      <c r="AC769" s="173" t="s">
        <v>122</v>
      </c>
      <c r="AD769" s="173">
        <v>313.10000000000002</v>
      </c>
      <c r="AG769" s="173">
        <f>AH769*6191.24/J769</f>
        <v>8874.2092689918791</v>
      </c>
      <c r="AH769" s="173">
        <f t="shared" si="117"/>
        <v>2100</v>
      </c>
      <c r="AS769" s="173" t="e">
        <f t="shared" si="118"/>
        <v>#N/A</v>
      </c>
    </row>
    <row r="770" spans="1:45" s="173" customFormat="1" ht="36" customHeight="1" x14ac:dyDescent="0.9">
      <c r="A770" s="173">
        <v>1</v>
      </c>
      <c r="B770" s="91">
        <f>SUBTOTAL(103,$A$546:A770)</f>
        <v>222</v>
      </c>
      <c r="C770" s="90" t="s">
        <v>1723</v>
      </c>
      <c r="D770" s="185">
        <v>1991</v>
      </c>
      <c r="E770" s="185"/>
      <c r="F770" s="191" t="s">
        <v>326</v>
      </c>
      <c r="G770" s="185">
        <v>9</v>
      </c>
      <c r="H770" s="185">
        <v>2</v>
      </c>
      <c r="I770" s="189">
        <v>5099.5</v>
      </c>
      <c r="J770" s="189">
        <v>3949.7</v>
      </c>
      <c r="K770" s="189">
        <v>3949.7</v>
      </c>
      <c r="L770" s="187">
        <v>168</v>
      </c>
      <c r="M770" s="185" t="s">
        <v>271</v>
      </c>
      <c r="N770" s="185" t="s">
        <v>275</v>
      </c>
      <c r="O770" s="188" t="s">
        <v>1724</v>
      </c>
      <c r="P770" s="189">
        <v>4654905.9400000004</v>
      </c>
      <c r="Q770" s="189">
        <v>0</v>
      </c>
      <c r="R770" s="189">
        <v>0</v>
      </c>
      <c r="S770" s="189">
        <f>P770-Q770-R770</f>
        <v>4654905.9400000004</v>
      </c>
      <c r="T770" s="189">
        <f t="shared" si="111"/>
        <v>912.81614668104726</v>
      </c>
      <c r="U770" s="189">
        <v>912.81614668104726</v>
      </c>
      <c r="V770" s="170">
        <f>U770-T770</f>
        <v>0</v>
      </c>
      <c r="W770" s="170"/>
      <c r="X770" s="170"/>
      <c r="Y770" s="173" t="e">
        <f>AA770*5221.8/I770</f>
        <v>#N/A</v>
      </c>
      <c r="AA770" s="173" t="e">
        <f t="shared" si="116"/>
        <v>#N/A</v>
      </c>
      <c r="AC770" s="173" t="s">
        <v>122</v>
      </c>
      <c r="AD770" s="173">
        <v>313.10000000000002</v>
      </c>
      <c r="AG770" s="173" t="e">
        <f>AH770*6191.24/J770</f>
        <v>#N/A</v>
      </c>
      <c r="AH770" s="173" t="e">
        <f t="shared" si="117"/>
        <v>#N/A</v>
      </c>
      <c r="AS770" s="173" t="e">
        <f t="shared" si="118"/>
        <v>#N/A</v>
      </c>
    </row>
    <row r="771" spans="1:45" s="173" customFormat="1" ht="36" customHeight="1" x14ac:dyDescent="0.9">
      <c r="A771" s="173">
        <v>1</v>
      </c>
      <c r="B771" s="91">
        <f>SUBTOTAL(103,$A$546:A771)</f>
        <v>223</v>
      </c>
      <c r="C771" s="90" t="s">
        <v>807</v>
      </c>
      <c r="D771" s="185">
        <v>1961</v>
      </c>
      <c r="E771" s="185"/>
      <c r="F771" s="191" t="s">
        <v>273</v>
      </c>
      <c r="G771" s="185">
        <v>3</v>
      </c>
      <c r="H771" s="185">
        <v>2</v>
      </c>
      <c r="I771" s="186">
        <v>1044</v>
      </c>
      <c r="J771" s="186">
        <v>968.1</v>
      </c>
      <c r="K771" s="186">
        <v>968.1</v>
      </c>
      <c r="L771" s="187">
        <v>46</v>
      </c>
      <c r="M771" s="185" t="s">
        <v>271</v>
      </c>
      <c r="N771" s="185" t="s">
        <v>275</v>
      </c>
      <c r="O771" s="188" t="s">
        <v>826</v>
      </c>
      <c r="P771" s="189">
        <v>110000</v>
      </c>
      <c r="Q771" s="189">
        <v>0</v>
      </c>
      <c r="R771" s="189">
        <v>0</v>
      </c>
      <c r="S771" s="189">
        <f t="shared" si="120"/>
        <v>110000</v>
      </c>
      <c r="T771" s="189">
        <f t="shared" si="111"/>
        <v>105.3639846743295</v>
      </c>
      <c r="U771" s="189">
        <f t="shared" ref="U771:U781" si="121">T771</f>
        <v>105.3639846743295</v>
      </c>
      <c r="V771" s="170">
        <f t="shared" si="113"/>
        <v>0</v>
      </c>
      <c r="W771" s="170"/>
      <c r="X771" s="170"/>
      <c r="Y771" s="173">
        <f t="shared" si="114"/>
        <v>2530.8724137931035</v>
      </c>
      <c r="AA771" s="173">
        <f t="shared" si="116"/>
        <v>506</v>
      </c>
      <c r="AH771" s="173" t="e">
        <f t="shared" si="117"/>
        <v>#N/A</v>
      </c>
      <c r="AS771" s="173" t="e">
        <f t="shared" si="118"/>
        <v>#N/A</v>
      </c>
    </row>
    <row r="772" spans="1:45" s="173" customFormat="1" ht="36" customHeight="1" x14ac:dyDescent="0.9">
      <c r="A772" s="173">
        <v>1</v>
      </c>
      <c r="B772" s="91">
        <f>SUBTOTAL(103,$A$546:A772)</f>
        <v>224</v>
      </c>
      <c r="C772" s="90" t="s">
        <v>808</v>
      </c>
      <c r="D772" s="185">
        <v>1960</v>
      </c>
      <c r="E772" s="185"/>
      <c r="F772" s="191" t="s">
        <v>273</v>
      </c>
      <c r="G772" s="185">
        <v>2</v>
      </c>
      <c r="H772" s="185">
        <v>2</v>
      </c>
      <c r="I772" s="186">
        <v>711.5</v>
      </c>
      <c r="J772" s="186">
        <v>515.1</v>
      </c>
      <c r="K772" s="186">
        <v>515.1</v>
      </c>
      <c r="L772" s="187">
        <v>13</v>
      </c>
      <c r="M772" s="185" t="s">
        <v>271</v>
      </c>
      <c r="N772" s="185" t="s">
        <v>272</v>
      </c>
      <c r="O772" s="188" t="s">
        <v>274</v>
      </c>
      <c r="P772" s="189">
        <v>110000</v>
      </c>
      <c r="Q772" s="189">
        <v>0</v>
      </c>
      <c r="R772" s="189">
        <v>0</v>
      </c>
      <c r="S772" s="189">
        <f t="shared" si="120"/>
        <v>110000</v>
      </c>
      <c r="T772" s="189">
        <f t="shared" si="111"/>
        <v>154.60295151089247</v>
      </c>
      <c r="U772" s="189">
        <f t="shared" si="121"/>
        <v>154.60295151089247</v>
      </c>
      <c r="V772" s="170">
        <f t="shared" si="113"/>
        <v>0</v>
      </c>
      <c r="W772" s="170"/>
      <c r="X772" s="170"/>
      <c r="Y772" s="173">
        <f t="shared" si="114"/>
        <v>3508.1101897399858</v>
      </c>
      <c r="AA772" s="173">
        <f t="shared" si="116"/>
        <v>478</v>
      </c>
      <c r="AH772" s="173" t="e">
        <f t="shared" si="117"/>
        <v>#N/A</v>
      </c>
      <c r="AS772" s="173" t="e">
        <f t="shared" si="118"/>
        <v>#N/A</v>
      </c>
    </row>
    <row r="773" spans="1:45" s="173" customFormat="1" ht="36" customHeight="1" x14ac:dyDescent="0.9">
      <c r="A773" s="173">
        <v>1</v>
      </c>
      <c r="B773" s="91">
        <f>SUBTOTAL(103,$A$546:A773)</f>
        <v>225</v>
      </c>
      <c r="C773" s="90" t="s">
        <v>1104</v>
      </c>
      <c r="D773" s="185">
        <v>1962</v>
      </c>
      <c r="E773" s="185"/>
      <c r="F773" s="191" t="s">
        <v>273</v>
      </c>
      <c r="G773" s="185">
        <v>4</v>
      </c>
      <c r="H773" s="185">
        <v>2</v>
      </c>
      <c r="I773" s="186">
        <v>1321.3</v>
      </c>
      <c r="J773" s="186">
        <v>1280</v>
      </c>
      <c r="K773" s="186">
        <v>975</v>
      </c>
      <c r="L773" s="187">
        <v>60</v>
      </c>
      <c r="M773" s="185" t="s">
        <v>271</v>
      </c>
      <c r="N773" s="185" t="s">
        <v>275</v>
      </c>
      <c r="O773" s="188" t="s">
        <v>830</v>
      </c>
      <c r="P773" s="189">
        <v>110000</v>
      </c>
      <c r="Q773" s="189">
        <v>0</v>
      </c>
      <c r="R773" s="189">
        <v>0</v>
      </c>
      <c r="S773" s="189">
        <f t="shared" si="120"/>
        <v>110000</v>
      </c>
      <c r="T773" s="189">
        <f t="shared" si="111"/>
        <v>83.251343373949894</v>
      </c>
      <c r="U773" s="189">
        <f t="shared" si="121"/>
        <v>83.251343373949894</v>
      </c>
      <c r="V773" s="170">
        <f t="shared" si="113"/>
        <v>0</v>
      </c>
      <c r="W773" s="170"/>
      <c r="X773" s="170"/>
      <c r="Y773" s="173">
        <f t="shared" si="114"/>
        <v>2477.9146295315222</v>
      </c>
      <c r="AA773" s="173">
        <f t="shared" si="116"/>
        <v>627</v>
      </c>
      <c r="AH773" s="173" t="e">
        <f t="shared" si="117"/>
        <v>#N/A</v>
      </c>
      <c r="AS773" s="173" t="e">
        <f t="shared" si="118"/>
        <v>#N/A</v>
      </c>
    </row>
    <row r="774" spans="1:45" s="173" customFormat="1" ht="36" customHeight="1" x14ac:dyDescent="0.9">
      <c r="A774" s="173">
        <v>1</v>
      </c>
      <c r="B774" s="91">
        <f>SUBTOTAL(103,$A$546:A774)</f>
        <v>226</v>
      </c>
      <c r="C774" s="90" t="s">
        <v>810</v>
      </c>
      <c r="D774" s="185">
        <v>1991</v>
      </c>
      <c r="E774" s="185"/>
      <c r="F774" s="191" t="s">
        <v>326</v>
      </c>
      <c r="G774" s="185">
        <v>9</v>
      </c>
      <c r="H774" s="185">
        <v>4</v>
      </c>
      <c r="I774" s="186">
        <v>10990.1</v>
      </c>
      <c r="J774" s="186">
        <v>7793.3</v>
      </c>
      <c r="K774" s="186">
        <v>7793.3</v>
      </c>
      <c r="L774" s="187">
        <v>318</v>
      </c>
      <c r="M774" s="185" t="s">
        <v>271</v>
      </c>
      <c r="N774" s="185" t="s">
        <v>275</v>
      </c>
      <c r="O774" s="188" t="s">
        <v>832</v>
      </c>
      <c r="P774" s="189">
        <v>120000</v>
      </c>
      <c r="Q774" s="189">
        <v>0</v>
      </c>
      <c r="R774" s="189">
        <v>0</v>
      </c>
      <c r="S774" s="189">
        <f t="shared" si="120"/>
        <v>120000</v>
      </c>
      <c r="T774" s="189">
        <f t="shared" si="111"/>
        <v>10.918917935232619</v>
      </c>
      <c r="U774" s="189">
        <f t="shared" si="121"/>
        <v>10.918917935232619</v>
      </c>
      <c r="V774" s="170">
        <f t="shared" si="113"/>
        <v>0</v>
      </c>
      <c r="W774" s="170"/>
      <c r="X774" s="170"/>
      <c r="Y774" s="173" t="e">
        <f t="shared" si="114"/>
        <v>#N/A</v>
      </c>
      <c r="AA774" s="173" t="e">
        <f t="shared" si="116"/>
        <v>#N/A</v>
      </c>
      <c r="AH774" s="173" t="e">
        <f t="shared" si="117"/>
        <v>#N/A</v>
      </c>
      <c r="AR774" s="173">
        <f>AS774*2207413/I774</f>
        <v>803.41871320552127</v>
      </c>
      <c r="AS774" s="173">
        <f t="shared" si="118"/>
        <v>4</v>
      </c>
    </row>
    <row r="775" spans="1:45" s="173" customFormat="1" ht="36" customHeight="1" x14ac:dyDescent="0.9">
      <c r="A775" s="173">
        <v>1</v>
      </c>
      <c r="B775" s="91">
        <f>SUBTOTAL(103,$A$546:A775)</f>
        <v>227</v>
      </c>
      <c r="C775" s="90" t="s">
        <v>812</v>
      </c>
      <c r="D775" s="185">
        <v>1937</v>
      </c>
      <c r="E775" s="185"/>
      <c r="F775" s="191" t="s">
        <v>273</v>
      </c>
      <c r="G775" s="185">
        <v>3</v>
      </c>
      <c r="H775" s="185">
        <v>4</v>
      </c>
      <c r="I775" s="186">
        <v>2758</v>
      </c>
      <c r="J775" s="186">
        <v>1462.7</v>
      </c>
      <c r="K775" s="186">
        <v>1347.2</v>
      </c>
      <c r="L775" s="187">
        <v>62</v>
      </c>
      <c r="M775" s="185" t="s">
        <v>271</v>
      </c>
      <c r="N775" s="185" t="s">
        <v>275</v>
      </c>
      <c r="O775" s="188" t="s">
        <v>830</v>
      </c>
      <c r="P775" s="189">
        <v>140000</v>
      </c>
      <c r="Q775" s="189">
        <v>0</v>
      </c>
      <c r="R775" s="189">
        <v>0</v>
      </c>
      <c r="S775" s="189">
        <f t="shared" si="120"/>
        <v>140000</v>
      </c>
      <c r="T775" s="189">
        <f t="shared" si="111"/>
        <v>50.761421319796952</v>
      </c>
      <c r="U775" s="189">
        <f t="shared" si="121"/>
        <v>50.761421319796952</v>
      </c>
      <c r="V775" s="170">
        <f t="shared" si="113"/>
        <v>0</v>
      </c>
      <c r="W775" s="170"/>
      <c r="X775" s="170"/>
      <c r="Y775" s="173">
        <f t="shared" si="114"/>
        <v>2574.9267585206671</v>
      </c>
      <c r="AA775" s="173">
        <f t="shared" si="116"/>
        <v>1360</v>
      </c>
      <c r="AH775" s="173" t="e">
        <f t="shared" si="117"/>
        <v>#N/A</v>
      </c>
      <c r="AS775" s="173" t="e">
        <f t="shared" si="118"/>
        <v>#N/A</v>
      </c>
    </row>
    <row r="776" spans="1:45" s="173" customFormat="1" ht="36" customHeight="1" x14ac:dyDescent="0.9">
      <c r="A776" s="173">
        <v>1</v>
      </c>
      <c r="B776" s="91">
        <f>SUBTOTAL(103,$A$546:A776)</f>
        <v>228</v>
      </c>
      <c r="C776" s="90" t="s">
        <v>813</v>
      </c>
      <c r="D776" s="185">
        <v>1959</v>
      </c>
      <c r="E776" s="185"/>
      <c r="F776" s="191" t="s">
        <v>273</v>
      </c>
      <c r="G776" s="185">
        <v>4</v>
      </c>
      <c r="H776" s="185">
        <v>2</v>
      </c>
      <c r="I776" s="186">
        <v>1352</v>
      </c>
      <c r="J776" s="186">
        <v>809</v>
      </c>
      <c r="K776" s="186">
        <v>809</v>
      </c>
      <c r="L776" s="187">
        <v>67</v>
      </c>
      <c r="M776" s="185" t="s">
        <v>271</v>
      </c>
      <c r="N776" s="185" t="s">
        <v>275</v>
      </c>
      <c r="O776" s="188" t="s">
        <v>830</v>
      </c>
      <c r="P776" s="189">
        <v>110000</v>
      </c>
      <c r="Q776" s="189">
        <v>0</v>
      </c>
      <c r="R776" s="189">
        <v>0</v>
      </c>
      <c r="S776" s="189">
        <f t="shared" si="120"/>
        <v>110000</v>
      </c>
      <c r="T776" s="189">
        <f t="shared" si="111"/>
        <v>81.360946745562131</v>
      </c>
      <c r="U776" s="189">
        <f t="shared" si="121"/>
        <v>81.360946745562131</v>
      </c>
      <c r="V776" s="170">
        <f t="shared" si="113"/>
        <v>0</v>
      </c>
      <c r="W776" s="170"/>
      <c r="X776" s="170"/>
      <c r="Y776" s="173">
        <f t="shared" si="114"/>
        <v>2506.6184911242603</v>
      </c>
      <c r="AA776" s="173">
        <f t="shared" si="116"/>
        <v>649</v>
      </c>
      <c r="AH776" s="173" t="e">
        <f t="shared" si="117"/>
        <v>#N/A</v>
      </c>
      <c r="AS776" s="173" t="e">
        <f t="shared" si="118"/>
        <v>#N/A</v>
      </c>
    </row>
    <row r="777" spans="1:45" s="173" customFormat="1" ht="36" customHeight="1" x14ac:dyDescent="0.9">
      <c r="A777" s="173">
        <v>1</v>
      </c>
      <c r="B777" s="91">
        <f>SUBTOTAL(103,$A$546:A777)</f>
        <v>229</v>
      </c>
      <c r="C777" s="90" t="s">
        <v>814</v>
      </c>
      <c r="D777" s="185">
        <v>1965</v>
      </c>
      <c r="E777" s="185"/>
      <c r="F777" s="191" t="s">
        <v>273</v>
      </c>
      <c r="G777" s="185">
        <v>5</v>
      </c>
      <c r="H777" s="185">
        <v>2</v>
      </c>
      <c r="I777" s="186">
        <v>2042.45</v>
      </c>
      <c r="J777" s="186">
        <v>1565</v>
      </c>
      <c r="K777" s="186">
        <v>1565</v>
      </c>
      <c r="L777" s="187">
        <v>65</v>
      </c>
      <c r="M777" s="185" t="s">
        <v>271</v>
      </c>
      <c r="N777" s="185" t="s">
        <v>275</v>
      </c>
      <c r="O777" s="188" t="s">
        <v>828</v>
      </c>
      <c r="P777" s="189">
        <v>110000</v>
      </c>
      <c r="Q777" s="189">
        <v>0</v>
      </c>
      <c r="R777" s="189">
        <v>0</v>
      </c>
      <c r="S777" s="189">
        <f t="shared" si="120"/>
        <v>110000</v>
      </c>
      <c r="T777" s="189">
        <f t="shared" si="111"/>
        <v>53.856887561507016</v>
      </c>
      <c r="U777" s="189">
        <f t="shared" si="121"/>
        <v>53.856887561507016</v>
      </c>
      <c r="V777" s="170">
        <f t="shared" si="113"/>
        <v>0</v>
      </c>
      <c r="W777" s="170"/>
      <c r="X777" s="170"/>
      <c r="Y777" s="173">
        <f t="shared" si="114"/>
        <v>1687.3793728120638</v>
      </c>
      <c r="AA777" s="173">
        <f t="shared" si="116"/>
        <v>660</v>
      </c>
      <c r="AH777" s="173" t="e">
        <f t="shared" si="117"/>
        <v>#N/A</v>
      </c>
      <c r="AS777" s="173" t="e">
        <f t="shared" si="118"/>
        <v>#N/A</v>
      </c>
    </row>
    <row r="778" spans="1:45" s="173" customFormat="1" ht="36" customHeight="1" x14ac:dyDescent="0.9">
      <c r="A778" s="173">
        <v>1</v>
      </c>
      <c r="B778" s="91">
        <f>SUBTOTAL(103,$A$546:A778)</f>
        <v>230</v>
      </c>
      <c r="C778" s="90" t="s">
        <v>815</v>
      </c>
      <c r="D778" s="185">
        <v>1955</v>
      </c>
      <c r="E778" s="185"/>
      <c r="F778" s="191" t="s">
        <v>344</v>
      </c>
      <c r="G778" s="185">
        <v>2</v>
      </c>
      <c r="H778" s="185">
        <v>2</v>
      </c>
      <c r="I778" s="186">
        <v>685.7</v>
      </c>
      <c r="J778" s="186">
        <v>629.20000000000005</v>
      </c>
      <c r="K778" s="186">
        <v>629.20000000000005</v>
      </c>
      <c r="L778" s="187">
        <v>28</v>
      </c>
      <c r="M778" s="185" t="s">
        <v>271</v>
      </c>
      <c r="N778" s="185" t="s">
        <v>272</v>
      </c>
      <c r="O778" s="188" t="s">
        <v>274</v>
      </c>
      <c r="P778" s="189">
        <v>130000</v>
      </c>
      <c r="Q778" s="189">
        <v>0</v>
      </c>
      <c r="R778" s="189">
        <v>0</v>
      </c>
      <c r="S778" s="189">
        <f t="shared" si="120"/>
        <v>130000</v>
      </c>
      <c r="T778" s="189">
        <f t="shared" si="111"/>
        <v>189.58728306839726</v>
      </c>
      <c r="U778" s="189">
        <f t="shared" si="121"/>
        <v>189.58728306839726</v>
      </c>
      <c r="V778" s="170">
        <f t="shared" si="113"/>
        <v>0</v>
      </c>
      <c r="W778" s="170"/>
      <c r="X778" s="170"/>
      <c r="Y778" s="173" t="e">
        <f t="shared" si="114"/>
        <v>#N/A</v>
      </c>
      <c r="AA778" s="173" t="e">
        <f t="shared" si="116"/>
        <v>#N/A</v>
      </c>
      <c r="AG778" s="173">
        <f>AH778*6191.24/J778</f>
        <v>6159.7524475524469</v>
      </c>
      <c r="AH778" s="173">
        <f t="shared" si="117"/>
        <v>626</v>
      </c>
      <c r="AS778" s="173" t="e">
        <f t="shared" si="118"/>
        <v>#N/A</v>
      </c>
    </row>
    <row r="779" spans="1:45" s="173" customFormat="1" ht="36" customHeight="1" x14ac:dyDescent="0.9">
      <c r="A779" s="173">
        <v>1</v>
      </c>
      <c r="B779" s="91">
        <f>SUBTOTAL(103,$A$546:A779)</f>
        <v>231</v>
      </c>
      <c r="C779" s="90" t="s">
        <v>816</v>
      </c>
      <c r="D779" s="185">
        <v>1975</v>
      </c>
      <c r="E779" s="185"/>
      <c r="F779" s="191" t="s">
        <v>273</v>
      </c>
      <c r="G779" s="185">
        <v>5</v>
      </c>
      <c r="H779" s="185">
        <v>6</v>
      </c>
      <c r="I779" s="186">
        <v>6824.86</v>
      </c>
      <c r="J779" s="186">
        <v>4475.3</v>
      </c>
      <c r="K779" s="186">
        <v>4306.8999999999996</v>
      </c>
      <c r="L779" s="187">
        <v>160</v>
      </c>
      <c r="M779" s="185" t="s">
        <v>271</v>
      </c>
      <c r="N779" s="185" t="s">
        <v>275</v>
      </c>
      <c r="O779" s="188" t="s">
        <v>835</v>
      </c>
      <c r="P779" s="189">
        <v>200000</v>
      </c>
      <c r="Q779" s="189">
        <v>0</v>
      </c>
      <c r="R779" s="189">
        <v>0</v>
      </c>
      <c r="S779" s="189">
        <f t="shared" si="120"/>
        <v>200000</v>
      </c>
      <c r="T779" s="189">
        <f t="shared" si="111"/>
        <v>29.3046304246534</v>
      </c>
      <c r="U779" s="189">
        <f t="shared" si="121"/>
        <v>29.3046304246534</v>
      </c>
      <c r="V779" s="170">
        <f t="shared" si="113"/>
        <v>0</v>
      </c>
      <c r="W779" s="170"/>
      <c r="X779" s="170"/>
      <c r="Y779" s="173">
        <f t="shared" si="114"/>
        <v>1566.5721348130219</v>
      </c>
      <c r="AA779" s="173">
        <f t="shared" si="116"/>
        <v>2047.5</v>
      </c>
      <c r="AH779" s="173" t="e">
        <f t="shared" si="117"/>
        <v>#N/A</v>
      </c>
      <c r="AS779" s="173" t="e">
        <f t="shared" si="118"/>
        <v>#N/A</v>
      </c>
    </row>
    <row r="780" spans="1:45" s="173" customFormat="1" ht="36" customHeight="1" x14ac:dyDescent="0.9">
      <c r="A780" s="173">
        <v>1</v>
      </c>
      <c r="B780" s="91">
        <f>SUBTOTAL(103,$A$546:A780)</f>
        <v>232</v>
      </c>
      <c r="C780" s="90" t="s">
        <v>838</v>
      </c>
      <c r="D780" s="185">
        <v>1959</v>
      </c>
      <c r="E780" s="185"/>
      <c r="F780" s="191" t="s">
        <v>273</v>
      </c>
      <c r="G780" s="185">
        <v>2</v>
      </c>
      <c r="H780" s="185">
        <v>1</v>
      </c>
      <c r="I780" s="186">
        <v>309.2</v>
      </c>
      <c r="J780" s="186">
        <v>287.5</v>
      </c>
      <c r="K780" s="186">
        <v>287.5</v>
      </c>
      <c r="L780" s="187">
        <v>14</v>
      </c>
      <c r="M780" s="185" t="s">
        <v>271</v>
      </c>
      <c r="N780" s="185" t="s">
        <v>275</v>
      </c>
      <c r="O780" s="188" t="s">
        <v>1012</v>
      </c>
      <c r="P780" s="189">
        <v>80000</v>
      </c>
      <c r="Q780" s="189">
        <v>0</v>
      </c>
      <c r="R780" s="189">
        <v>0</v>
      </c>
      <c r="S780" s="189">
        <f t="shared" si="120"/>
        <v>80000</v>
      </c>
      <c r="T780" s="189">
        <f t="shared" si="111"/>
        <v>258.73221216041401</v>
      </c>
      <c r="U780" s="189">
        <f t="shared" si="121"/>
        <v>258.73221216041401</v>
      </c>
      <c r="V780" s="170">
        <f t="shared" si="113"/>
        <v>0</v>
      </c>
      <c r="W780" s="170"/>
      <c r="X780" s="170"/>
      <c r="Y780" s="173" t="e">
        <f t="shared" si="114"/>
        <v>#N/A</v>
      </c>
      <c r="AA780" s="173" t="e">
        <f t="shared" si="116"/>
        <v>#N/A</v>
      </c>
      <c r="AG780" s="173">
        <f>AH780*6191.24/J780</f>
        <v>7752.5092173913044</v>
      </c>
      <c r="AH780" s="173">
        <f t="shared" si="117"/>
        <v>360</v>
      </c>
      <c r="AS780" s="173" t="e">
        <f t="shared" si="118"/>
        <v>#N/A</v>
      </c>
    </row>
    <row r="781" spans="1:45" s="173" customFormat="1" ht="36" customHeight="1" x14ac:dyDescent="0.9">
      <c r="A781" s="173">
        <v>1</v>
      </c>
      <c r="B781" s="91">
        <f>SUBTOTAL(103,$A$546:A781)</f>
        <v>233</v>
      </c>
      <c r="C781" s="90" t="s">
        <v>1649</v>
      </c>
      <c r="D781" s="185">
        <v>1958</v>
      </c>
      <c r="E781" s="185"/>
      <c r="F781" s="191" t="s">
        <v>273</v>
      </c>
      <c r="G781" s="185">
        <v>2</v>
      </c>
      <c r="H781" s="185">
        <v>2</v>
      </c>
      <c r="I781" s="186">
        <v>445.5</v>
      </c>
      <c r="J781" s="186">
        <v>297.3</v>
      </c>
      <c r="K781" s="186">
        <v>297.3</v>
      </c>
      <c r="L781" s="187">
        <v>17</v>
      </c>
      <c r="M781" s="185" t="s">
        <v>271</v>
      </c>
      <c r="N781" s="185" t="s">
        <v>272</v>
      </c>
      <c r="O781" s="188" t="s">
        <v>274</v>
      </c>
      <c r="P781" s="189">
        <v>100000</v>
      </c>
      <c r="Q781" s="189">
        <v>0</v>
      </c>
      <c r="R781" s="189">
        <v>0</v>
      </c>
      <c r="S781" s="189">
        <f t="shared" si="120"/>
        <v>100000</v>
      </c>
      <c r="T781" s="189">
        <f t="shared" si="111"/>
        <v>224.46689113355779</v>
      </c>
      <c r="U781" s="189">
        <f t="shared" si="121"/>
        <v>224.46689113355779</v>
      </c>
      <c r="V781" s="170">
        <f t="shared" si="113"/>
        <v>0</v>
      </c>
      <c r="W781" s="170"/>
      <c r="X781" s="170"/>
      <c r="Y781" s="173">
        <f t="shared" si="114"/>
        <v>4454.060606060606</v>
      </c>
      <c r="AA781" s="173">
        <f t="shared" si="116"/>
        <v>380</v>
      </c>
      <c r="AH781" s="173" t="e">
        <f t="shared" si="117"/>
        <v>#N/A</v>
      </c>
      <c r="AS781" s="173" t="e">
        <f t="shared" si="118"/>
        <v>#N/A</v>
      </c>
    </row>
    <row r="782" spans="1:45" s="173" customFormat="1" ht="36" customHeight="1" x14ac:dyDescent="0.9">
      <c r="B782" s="90" t="s">
        <v>783</v>
      </c>
      <c r="C782" s="192"/>
      <c r="D782" s="185" t="s">
        <v>915</v>
      </c>
      <c r="E782" s="185" t="s">
        <v>915</v>
      </c>
      <c r="F782" s="185" t="s">
        <v>915</v>
      </c>
      <c r="G782" s="185" t="s">
        <v>915</v>
      </c>
      <c r="H782" s="185" t="s">
        <v>915</v>
      </c>
      <c r="I782" s="186">
        <f>SUM(I783:I785)</f>
        <v>16386.399999999998</v>
      </c>
      <c r="J782" s="186">
        <f>SUM(J783:J785)</f>
        <v>14502.1</v>
      </c>
      <c r="K782" s="186">
        <f>SUM(K783:K785)</f>
        <v>14144.900000000001</v>
      </c>
      <c r="L782" s="187">
        <f>SUM(L783:L785)</f>
        <v>704</v>
      </c>
      <c r="M782" s="185" t="s">
        <v>915</v>
      </c>
      <c r="N782" s="185" t="s">
        <v>915</v>
      </c>
      <c r="O782" s="188" t="s">
        <v>915</v>
      </c>
      <c r="P782" s="186">
        <v>21856214.649999999</v>
      </c>
      <c r="Q782" s="186">
        <f>SUM(Q783:Q785)</f>
        <v>0</v>
      </c>
      <c r="R782" s="186">
        <f>SUM(R783:R785)</f>
        <v>0</v>
      </c>
      <c r="S782" s="186">
        <f>SUM(S783:S785)</f>
        <v>21856214.649999999</v>
      </c>
      <c r="T782" s="189">
        <f t="shared" si="111"/>
        <v>1333.8020950300249</v>
      </c>
      <c r="U782" s="189">
        <f>MAX(U783:U785)</f>
        <v>4564.1484437036816</v>
      </c>
      <c r="V782" s="170">
        <f t="shared" si="113"/>
        <v>3230.3463486736564</v>
      </c>
      <c r="W782" s="170"/>
      <c r="X782" s="170"/>
      <c r="Y782" s="173" t="e">
        <f t="shared" si="114"/>
        <v>#N/A</v>
      </c>
      <c r="AA782" s="173" t="e">
        <f t="shared" si="116"/>
        <v>#N/A</v>
      </c>
      <c r="AH782" s="173" t="e">
        <f t="shared" si="117"/>
        <v>#N/A</v>
      </c>
      <c r="AS782" s="173" t="e">
        <f t="shared" si="118"/>
        <v>#N/A</v>
      </c>
    </row>
    <row r="783" spans="1:45" s="173" customFormat="1" ht="36" customHeight="1" x14ac:dyDescent="0.9">
      <c r="A783" s="173">
        <v>1</v>
      </c>
      <c r="B783" s="91">
        <f>SUBTOTAL(103,$A$546:A783)</f>
        <v>234</v>
      </c>
      <c r="C783" s="90" t="s">
        <v>392</v>
      </c>
      <c r="D783" s="185">
        <v>1982</v>
      </c>
      <c r="E783" s="185">
        <v>2015</v>
      </c>
      <c r="F783" s="191" t="s">
        <v>326</v>
      </c>
      <c r="G783" s="185">
        <v>9</v>
      </c>
      <c r="H783" s="185">
        <v>4</v>
      </c>
      <c r="I783" s="186">
        <v>8597</v>
      </c>
      <c r="J783" s="186">
        <v>7716.1</v>
      </c>
      <c r="K783" s="186">
        <v>7419.5</v>
      </c>
      <c r="L783" s="187">
        <v>358</v>
      </c>
      <c r="M783" s="185" t="s">
        <v>271</v>
      </c>
      <c r="N783" s="185" t="s">
        <v>275</v>
      </c>
      <c r="O783" s="188" t="s">
        <v>327</v>
      </c>
      <c r="P783" s="189">
        <v>8993212</v>
      </c>
      <c r="Q783" s="189">
        <v>0</v>
      </c>
      <c r="R783" s="189">
        <v>0</v>
      </c>
      <c r="S783" s="189">
        <f>P783-Q783-R783</f>
        <v>8993212</v>
      </c>
      <c r="T783" s="189">
        <f t="shared" ref="T783:T846" si="122">P783/I783</f>
        <v>1046.0872397347912</v>
      </c>
      <c r="U783" s="189">
        <f>T783</f>
        <v>1046.0872397347912</v>
      </c>
      <c r="V783" s="170">
        <f t="shared" si="113"/>
        <v>0</v>
      </c>
      <c r="W783" s="170"/>
      <c r="X783" s="170"/>
      <c r="Y783" s="173" t="e">
        <f t="shared" si="114"/>
        <v>#N/A</v>
      </c>
      <c r="AA783" s="173" t="e">
        <f t="shared" si="116"/>
        <v>#N/A</v>
      </c>
      <c r="AH783" s="173" t="e">
        <f t="shared" si="117"/>
        <v>#N/A</v>
      </c>
      <c r="AR783" s="173">
        <f>AS783*2207413/I783</f>
        <v>1027.0619983715249</v>
      </c>
      <c r="AS783" s="173">
        <f t="shared" si="118"/>
        <v>4</v>
      </c>
    </row>
    <row r="784" spans="1:45" s="173" customFormat="1" ht="36" customHeight="1" x14ac:dyDescent="0.9">
      <c r="A784" s="173">
        <v>1</v>
      </c>
      <c r="B784" s="91">
        <f>SUBTOTAL(103,$A$546:A784)</f>
        <v>235</v>
      </c>
      <c r="C784" s="90" t="s">
        <v>1702</v>
      </c>
      <c r="D784" s="185">
        <v>1981</v>
      </c>
      <c r="E784" s="185">
        <v>2015</v>
      </c>
      <c r="F784" s="191" t="s">
        <v>326</v>
      </c>
      <c r="G784" s="185">
        <v>5</v>
      </c>
      <c r="H784" s="185">
        <v>5</v>
      </c>
      <c r="I784" s="186">
        <v>3967.3</v>
      </c>
      <c r="J784" s="186">
        <v>3426.1</v>
      </c>
      <c r="K784" s="186">
        <f>J784</f>
        <v>3426.1</v>
      </c>
      <c r="L784" s="187">
        <v>178</v>
      </c>
      <c r="M784" s="185" t="s">
        <v>271</v>
      </c>
      <c r="N784" s="185" t="s">
        <v>275</v>
      </c>
      <c r="O784" s="188" t="s">
        <v>328</v>
      </c>
      <c r="P784" s="189">
        <v>7201018.8100000005</v>
      </c>
      <c r="Q784" s="189">
        <v>0</v>
      </c>
      <c r="R784" s="189">
        <v>0</v>
      </c>
      <c r="S784" s="189">
        <f>P784-Q784-R784</f>
        <v>7201018.8100000005</v>
      </c>
      <c r="T784" s="189">
        <f t="shared" si="122"/>
        <v>1815.093088498475</v>
      </c>
      <c r="U784" s="189">
        <v>3929.63</v>
      </c>
      <c r="V784" s="170">
        <f t="shared" si="113"/>
        <v>2114.5369115015251</v>
      </c>
      <c r="W784" s="170"/>
      <c r="X784" s="170"/>
      <c r="Y784" s="173" t="e">
        <f t="shared" si="114"/>
        <v>#N/A</v>
      </c>
      <c r="AA784" s="173" t="e">
        <f t="shared" si="116"/>
        <v>#N/A</v>
      </c>
      <c r="AH784" s="173" t="e">
        <f t="shared" si="117"/>
        <v>#N/A</v>
      </c>
      <c r="AS784" s="173" t="e">
        <f t="shared" si="118"/>
        <v>#N/A</v>
      </c>
    </row>
    <row r="785" spans="1:45" s="173" customFormat="1" ht="36" customHeight="1" x14ac:dyDescent="0.9">
      <c r="A785" s="173">
        <v>1</v>
      </c>
      <c r="B785" s="91">
        <f>SUBTOTAL(103,$A$546:A785)</f>
        <v>236</v>
      </c>
      <c r="C785" s="90" t="s">
        <v>393</v>
      </c>
      <c r="D785" s="185">
        <v>1973</v>
      </c>
      <c r="E785" s="185">
        <v>2017</v>
      </c>
      <c r="F785" s="191" t="s">
        <v>326</v>
      </c>
      <c r="G785" s="185">
        <v>5</v>
      </c>
      <c r="H785" s="185">
        <v>5</v>
      </c>
      <c r="I785" s="186">
        <v>3822.1</v>
      </c>
      <c r="J785" s="186">
        <v>3359.9</v>
      </c>
      <c r="K785" s="186">
        <v>3299.3</v>
      </c>
      <c r="L785" s="187">
        <v>168</v>
      </c>
      <c r="M785" s="185" t="s">
        <v>271</v>
      </c>
      <c r="N785" s="185" t="s">
        <v>275</v>
      </c>
      <c r="O785" s="188" t="s">
        <v>328</v>
      </c>
      <c r="P785" s="189">
        <v>5661983.8399999999</v>
      </c>
      <c r="Q785" s="189">
        <v>0</v>
      </c>
      <c r="R785" s="189">
        <v>0</v>
      </c>
      <c r="S785" s="189">
        <f>P785-Q785-R785</f>
        <v>5661983.8399999999</v>
      </c>
      <c r="T785" s="189">
        <f t="shared" si="122"/>
        <v>1481.3803511158787</v>
      </c>
      <c r="U785" s="189">
        <f>AG785</f>
        <v>4564.1484437036816</v>
      </c>
      <c r="V785" s="170">
        <f t="shared" si="113"/>
        <v>3082.768092587803</v>
      </c>
      <c r="W785" s="170"/>
      <c r="X785" s="170"/>
      <c r="Y785" s="173" t="e">
        <f t="shared" si="114"/>
        <v>#N/A</v>
      </c>
      <c r="AA785" s="173" t="e">
        <f t="shared" si="116"/>
        <v>#N/A</v>
      </c>
      <c r="AG785" s="173">
        <f>AH785*6191.24/J785</f>
        <v>4564.1484437036816</v>
      </c>
      <c r="AH785" s="173">
        <f t="shared" si="117"/>
        <v>2476.9</v>
      </c>
      <c r="AS785" s="173" t="e">
        <f t="shared" si="118"/>
        <v>#N/A</v>
      </c>
    </row>
    <row r="786" spans="1:45" s="173" customFormat="1" ht="36" customHeight="1" x14ac:dyDescent="0.9">
      <c r="B786" s="90" t="s">
        <v>840</v>
      </c>
      <c r="C786" s="192"/>
      <c r="D786" s="185" t="s">
        <v>915</v>
      </c>
      <c r="E786" s="185" t="s">
        <v>915</v>
      </c>
      <c r="F786" s="185" t="s">
        <v>915</v>
      </c>
      <c r="G786" s="185" t="s">
        <v>915</v>
      </c>
      <c r="H786" s="185" t="s">
        <v>915</v>
      </c>
      <c r="I786" s="186">
        <f>SUM(I787:I804)</f>
        <v>41178.209999999992</v>
      </c>
      <c r="J786" s="186">
        <f>SUM(J787:J804)</f>
        <v>21581.34</v>
      </c>
      <c r="K786" s="186">
        <f>SUM(K787:K804)</f>
        <v>21351.440000000002</v>
      </c>
      <c r="L786" s="187">
        <f>SUM(L787:L804)</f>
        <v>1511</v>
      </c>
      <c r="M786" s="185" t="s">
        <v>915</v>
      </c>
      <c r="N786" s="185" t="s">
        <v>915</v>
      </c>
      <c r="O786" s="188" t="s">
        <v>915</v>
      </c>
      <c r="P786" s="186">
        <v>82591708.530000001</v>
      </c>
      <c r="Q786" s="186">
        <f>SUM(Q787:Q804)</f>
        <v>0</v>
      </c>
      <c r="R786" s="186">
        <f>SUM(R787:R804)</f>
        <v>0</v>
      </c>
      <c r="S786" s="186">
        <f>SUM(S787:S804)</f>
        <v>82591708.530000001</v>
      </c>
      <c r="T786" s="189">
        <f t="shared" si="122"/>
        <v>2005.7139086424597</v>
      </c>
      <c r="U786" s="189">
        <f>MAX(U787:U799)</f>
        <v>7988.1619204518711</v>
      </c>
      <c r="V786" s="170">
        <f t="shared" si="113"/>
        <v>5982.4480118094116</v>
      </c>
      <c r="W786" s="170"/>
      <c r="X786" s="170"/>
      <c r="Y786" s="173" t="e">
        <f t="shared" si="114"/>
        <v>#N/A</v>
      </c>
      <c r="AA786" s="173" t="e">
        <f t="shared" si="116"/>
        <v>#N/A</v>
      </c>
      <c r="AH786" s="173" t="e">
        <f t="shared" si="117"/>
        <v>#N/A</v>
      </c>
      <c r="AS786" s="173" t="e">
        <f t="shared" si="118"/>
        <v>#N/A</v>
      </c>
    </row>
    <row r="787" spans="1:45" s="173" customFormat="1" ht="36" customHeight="1" x14ac:dyDescent="0.9">
      <c r="A787" s="173">
        <v>1</v>
      </c>
      <c r="B787" s="91">
        <f>SUBTOTAL(103,$A$546:A787)</f>
        <v>237</v>
      </c>
      <c r="C787" s="90" t="s">
        <v>630</v>
      </c>
      <c r="D787" s="185">
        <v>1965</v>
      </c>
      <c r="E787" s="185"/>
      <c r="F787" s="191" t="s">
        <v>273</v>
      </c>
      <c r="G787" s="185">
        <v>5</v>
      </c>
      <c r="H787" s="185">
        <v>4</v>
      </c>
      <c r="I787" s="186">
        <v>4109.6000000000004</v>
      </c>
      <c r="J787" s="186">
        <v>3177</v>
      </c>
      <c r="K787" s="186">
        <v>3176.6</v>
      </c>
      <c r="L787" s="187">
        <v>137</v>
      </c>
      <c r="M787" s="185" t="s">
        <v>271</v>
      </c>
      <c r="N787" s="185" t="s">
        <v>275</v>
      </c>
      <c r="O787" s="188" t="s">
        <v>1108</v>
      </c>
      <c r="P787" s="189">
        <v>4335833</v>
      </c>
      <c r="Q787" s="189">
        <v>0</v>
      </c>
      <c r="R787" s="189">
        <v>0</v>
      </c>
      <c r="S787" s="189">
        <f t="shared" ref="S787:S804" si="123">P787-Q787-R787</f>
        <v>4335833</v>
      </c>
      <c r="T787" s="189">
        <f t="shared" si="122"/>
        <v>1055.0498832003113</v>
      </c>
      <c r="U787" s="189">
        <f>T787</f>
        <v>1055.0498832003113</v>
      </c>
      <c r="V787" s="170">
        <f t="shared" si="113"/>
        <v>0</v>
      </c>
      <c r="W787" s="170"/>
      <c r="X787" s="170"/>
      <c r="Y787" s="173">
        <f t="shared" si="114"/>
        <v>982.20055479852056</v>
      </c>
      <c r="AA787" s="173">
        <f t="shared" si="116"/>
        <v>773</v>
      </c>
      <c r="AH787" s="173" t="e">
        <f t="shared" si="117"/>
        <v>#N/A</v>
      </c>
      <c r="AS787" s="173" t="e">
        <f t="shared" si="118"/>
        <v>#N/A</v>
      </c>
    </row>
    <row r="788" spans="1:45" s="173" customFormat="1" ht="36" customHeight="1" x14ac:dyDescent="0.9">
      <c r="A788" s="173">
        <v>1</v>
      </c>
      <c r="B788" s="91">
        <f>SUBTOTAL(103,$A$546:A788)</f>
        <v>238</v>
      </c>
      <c r="C788" s="90" t="s">
        <v>631</v>
      </c>
      <c r="D788" s="185">
        <v>1987</v>
      </c>
      <c r="E788" s="185"/>
      <c r="F788" s="191" t="s">
        <v>273</v>
      </c>
      <c r="G788" s="185">
        <v>10</v>
      </c>
      <c r="H788" s="185">
        <v>1</v>
      </c>
      <c r="I788" s="186">
        <v>4233.46</v>
      </c>
      <c r="J788" s="186">
        <v>1997.7</v>
      </c>
      <c r="K788" s="186">
        <v>1997.7</v>
      </c>
      <c r="L788" s="187">
        <v>156</v>
      </c>
      <c r="M788" s="185" t="s">
        <v>271</v>
      </c>
      <c r="N788" s="185" t="s">
        <v>275</v>
      </c>
      <c r="O788" s="188" t="s">
        <v>730</v>
      </c>
      <c r="P788" s="189">
        <v>5909484.1499999994</v>
      </c>
      <c r="Q788" s="189">
        <v>0</v>
      </c>
      <c r="R788" s="189">
        <v>0</v>
      </c>
      <c r="S788" s="189">
        <f t="shared" si="123"/>
        <v>5909484.1499999994</v>
      </c>
      <c r="T788" s="189">
        <f t="shared" si="122"/>
        <v>1395.8993707274899</v>
      </c>
      <c r="U788" s="189">
        <f>T788</f>
        <v>1395.8993707274899</v>
      </c>
      <c r="V788" s="170">
        <f t="shared" si="113"/>
        <v>0</v>
      </c>
      <c r="W788" s="170"/>
      <c r="X788" s="170"/>
      <c r="Y788" s="173">
        <f t="shared" si="114"/>
        <v>1295.1321141572141</v>
      </c>
      <c r="AA788" s="173">
        <f t="shared" si="116"/>
        <v>1050</v>
      </c>
      <c r="AH788" s="173" t="e">
        <f t="shared" si="117"/>
        <v>#N/A</v>
      </c>
      <c r="AS788" s="173" t="e">
        <f t="shared" si="118"/>
        <v>#N/A</v>
      </c>
    </row>
    <row r="789" spans="1:45" s="173" customFormat="1" ht="36" customHeight="1" x14ac:dyDescent="0.9">
      <c r="A789" s="173">
        <v>1</v>
      </c>
      <c r="B789" s="91">
        <f>SUBTOTAL(103,$A$546:A789)</f>
        <v>239</v>
      </c>
      <c r="C789" s="90" t="s">
        <v>632</v>
      </c>
      <c r="D789" s="185">
        <v>1984</v>
      </c>
      <c r="E789" s="185"/>
      <c r="F789" s="191" t="s">
        <v>273</v>
      </c>
      <c r="G789" s="185">
        <v>2</v>
      </c>
      <c r="H789" s="185">
        <v>1</v>
      </c>
      <c r="I789" s="186">
        <v>3054.2</v>
      </c>
      <c r="J789" s="186">
        <v>560.29999999999995</v>
      </c>
      <c r="K789" s="186">
        <v>560.29999999999995</v>
      </c>
      <c r="L789" s="187">
        <v>31</v>
      </c>
      <c r="M789" s="185" t="s">
        <v>271</v>
      </c>
      <c r="N789" s="185" t="s">
        <v>275</v>
      </c>
      <c r="O789" s="188" t="s">
        <v>730</v>
      </c>
      <c r="P789" s="189">
        <v>4721220</v>
      </c>
      <c r="Q789" s="189">
        <v>0</v>
      </c>
      <c r="R789" s="189">
        <v>0</v>
      </c>
      <c r="S789" s="189">
        <f t="shared" si="123"/>
        <v>4721220</v>
      </c>
      <c r="T789" s="189">
        <f t="shared" si="122"/>
        <v>1545.8123240128348</v>
      </c>
      <c r="U789" s="189">
        <f t="shared" ref="U789:U795" si="124">Y789</f>
        <v>1615.6771003863532</v>
      </c>
      <c r="V789" s="170">
        <f t="shared" si="113"/>
        <v>69.864776373518453</v>
      </c>
      <c r="W789" s="170"/>
      <c r="X789" s="170"/>
      <c r="Y789" s="173">
        <f t="shared" si="114"/>
        <v>1615.6771003863532</v>
      </c>
      <c r="AA789" s="173">
        <f t="shared" si="116"/>
        <v>945</v>
      </c>
      <c r="AH789" s="173" t="e">
        <f t="shared" si="117"/>
        <v>#N/A</v>
      </c>
      <c r="AS789" s="173" t="e">
        <f t="shared" si="118"/>
        <v>#N/A</v>
      </c>
    </row>
    <row r="790" spans="1:45" s="173" customFormat="1" ht="36" customHeight="1" x14ac:dyDescent="0.9">
      <c r="A790" s="173">
        <v>1</v>
      </c>
      <c r="B790" s="91">
        <f>SUBTOTAL(103,$A$546:A790)</f>
        <v>240</v>
      </c>
      <c r="C790" s="90" t="s">
        <v>637</v>
      </c>
      <c r="D790" s="185">
        <v>1955</v>
      </c>
      <c r="E790" s="185"/>
      <c r="F790" s="191" t="s">
        <v>273</v>
      </c>
      <c r="G790" s="185">
        <v>2</v>
      </c>
      <c r="H790" s="185">
        <v>1</v>
      </c>
      <c r="I790" s="186">
        <v>424.9</v>
      </c>
      <c r="J790" s="186">
        <v>377.6</v>
      </c>
      <c r="K790" s="186">
        <v>377.6</v>
      </c>
      <c r="L790" s="187">
        <v>21</v>
      </c>
      <c r="M790" s="185" t="s">
        <v>271</v>
      </c>
      <c r="N790" s="185" t="s">
        <v>272</v>
      </c>
      <c r="O790" s="188" t="s">
        <v>274</v>
      </c>
      <c r="P790" s="189">
        <v>3393650</v>
      </c>
      <c r="Q790" s="189">
        <v>0</v>
      </c>
      <c r="R790" s="189">
        <v>0</v>
      </c>
      <c r="S790" s="189">
        <f t="shared" si="123"/>
        <v>3393650</v>
      </c>
      <c r="T790" s="189">
        <f t="shared" si="122"/>
        <v>7986.9381030830791</v>
      </c>
      <c r="U790" s="189">
        <f t="shared" si="124"/>
        <v>7988.1619204518711</v>
      </c>
      <c r="V790" s="170">
        <f t="shared" si="113"/>
        <v>1.2238173687919698</v>
      </c>
      <c r="W790" s="170"/>
      <c r="X790" s="170"/>
      <c r="Y790" s="173">
        <f t="shared" si="114"/>
        <v>7988.1619204518711</v>
      </c>
      <c r="AA790" s="173">
        <f t="shared" si="116"/>
        <v>650</v>
      </c>
      <c r="AH790" s="173" t="e">
        <f t="shared" si="117"/>
        <v>#N/A</v>
      </c>
      <c r="AS790" s="173" t="e">
        <f t="shared" si="118"/>
        <v>#N/A</v>
      </c>
    </row>
    <row r="791" spans="1:45" s="173" customFormat="1" ht="36" customHeight="1" x14ac:dyDescent="0.9">
      <c r="A791" s="173">
        <v>1</v>
      </c>
      <c r="B791" s="91">
        <f>SUBTOTAL(103,$A$546:A791)</f>
        <v>241</v>
      </c>
      <c r="C791" s="90" t="s">
        <v>638</v>
      </c>
      <c r="D791" s="185">
        <v>1965</v>
      </c>
      <c r="E791" s="185"/>
      <c r="F791" s="191" t="s">
        <v>273</v>
      </c>
      <c r="G791" s="185">
        <v>5</v>
      </c>
      <c r="H791" s="185">
        <v>2</v>
      </c>
      <c r="I791" s="186">
        <v>4398.3999999999996</v>
      </c>
      <c r="J791" s="186">
        <v>2300.6799999999998</v>
      </c>
      <c r="K791" s="186">
        <v>2300.6799999999998</v>
      </c>
      <c r="L791" s="187">
        <v>202</v>
      </c>
      <c r="M791" s="185" t="s">
        <v>271</v>
      </c>
      <c r="N791" s="185" t="s">
        <v>275</v>
      </c>
      <c r="O791" s="188" t="s">
        <v>1111</v>
      </c>
      <c r="P791" s="189">
        <v>5195840</v>
      </c>
      <c r="Q791" s="189">
        <v>0</v>
      </c>
      <c r="R791" s="189">
        <v>0</v>
      </c>
      <c r="S791" s="189">
        <f t="shared" si="123"/>
        <v>5195840</v>
      </c>
      <c r="T791" s="189">
        <f t="shared" si="122"/>
        <v>1181.3022917424519</v>
      </c>
      <c r="U791" s="189">
        <f t="shared" si="124"/>
        <v>1234.6926154965442</v>
      </c>
      <c r="V791" s="170">
        <f t="shared" si="113"/>
        <v>53.390323754092378</v>
      </c>
      <c r="W791" s="170"/>
      <c r="X791" s="170"/>
      <c r="Y791" s="173">
        <f t="shared" si="114"/>
        <v>1234.6926154965442</v>
      </c>
      <c r="AA791" s="173">
        <f t="shared" si="116"/>
        <v>1040</v>
      </c>
      <c r="AH791" s="173" t="e">
        <f t="shared" si="117"/>
        <v>#N/A</v>
      </c>
      <c r="AS791" s="173" t="e">
        <f t="shared" si="118"/>
        <v>#N/A</v>
      </c>
    </row>
    <row r="792" spans="1:45" s="173" customFormat="1" ht="36" customHeight="1" x14ac:dyDescent="0.9">
      <c r="A792" s="173">
        <v>1</v>
      </c>
      <c r="B792" s="91">
        <f>SUBTOTAL(103,$A$546:A792)</f>
        <v>242</v>
      </c>
      <c r="C792" s="90" t="s">
        <v>636</v>
      </c>
      <c r="D792" s="185">
        <v>1993</v>
      </c>
      <c r="E792" s="185"/>
      <c r="F792" s="191" t="s">
        <v>319</v>
      </c>
      <c r="G792" s="185">
        <v>9</v>
      </c>
      <c r="H792" s="185">
        <v>2</v>
      </c>
      <c r="I792" s="186">
        <v>4008</v>
      </c>
      <c r="J792" s="186">
        <v>2472.3000000000002</v>
      </c>
      <c r="K792" s="186">
        <v>2472.3000000000002</v>
      </c>
      <c r="L792" s="187">
        <v>281</v>
      </c>
      <c r="M792" s="185" t="s">
        <v>271</v>
      </c>
      <c r="N792" s="185" t="s">
        <v>275</v>
      </c>
      <c r="O792" s="188" t="s">
        <v>1108</v>
      </c>
      <c r="P792" s="189">
        <v>4892077</v>
      </c>
      <c r="Q792" s="189">
        <v>0</v>
      </c>
      <c r="R792" s="189">
        <v>0</v>
      </c>
      <c r="S792" s="189">
        <f t="shared" si="123"/>
        <v>4892077</v>
      </c>
      <c r="T792" s="189">
        <f t="shared" si="122"/>
        <v>1220.5780938123753</v>
      </c>
      <c r="U792" s="189">
        <f t="shared" si="124"/>
        <v>1220.7651197604791</v>
      </c>
      <c r="V792" s="170">
        <f t="shared" si="113"/>
        <v>0.18702594810383744</v>
      </c>
      <c r="W792" s="170"/>
      <c r="X792" s="170"/>
      <c r="Y792" s="173">
        <f t="shared" si="114"/>
        <v>1220.7651197604791</v>
      </c>
      <c r="AA792" s="173">
        <f t="shared" si="116"/>
        <v>937</v>
      </c>
      <c r="AH792" s="173" t="e">
        <f t="shared" si="117"/>
        <v>#N/A</v>
      </c>
      <c r="AS792" s="173" t="e">
        <f t="shared" si="118"/>
        <v>#N/A</v>
      </c>
    </row>
    <row r="793" spans="1:45" s="173" customFormat="1" ht="36" customHeight="1" x14ac:dyDescent="0.9">
      <c r="A793" s="173">
        <v>1</v>
      </c>
      <c r="B793" s="91">
        <f>SUBTOTAL(103,$A$546:A793)</f>
        <v>243</v>
      </c>
      <c r="C793" s="90" t="s">
        <v>627</v>
      </c>
      <c r="D793" s="185">
        <v>1959</v>
      </c>
      <c r="E793" s="185"/>
      <c r="F793" s="191" t="s">
        <v>273</v>
      </c>
      <c r="G793" s="185">
        <v>2</v>
      </c>
      <c r="H793" s="185">
        <v>2</v>
      </c>
      <c r="I793" s="186">
        <v>676.9</v>
      </c>
      <c r="J793" s="186">
        <v>525.79999999999995</v>
      </c>
      <c r="K793" s="186">
        <v>525.79999999999995</v>
      </c>
      <c r="L793" s="187">
        <v>29</v>
      </c>
      <c r="M793" s="185" t="s">
        <v>271</v>
      </c>
      <c r="N793" s="185" t="s">
        <v>275</v>
      </c>
      <c r="O793" s="188" t="s">
        <v>728</v>
      </c>
      <c r="P793" s="189">
        <v>2921671.6</v>
      </c>
      <c r="Q793" s="189">
        <v>0</v>
      </c>
      <c r="R793" s="189">
        <v>0</v>
      </c>
      <c r="S793" s="189">
        <f t="shared" si="123"/>
        <v>2921671.6</v>
      </c>
      <c r="T793" s="189">
        <f t="shared" si="122"/>
        <v>4316.2529177131046</v>
      </c>
      <c r="U793" s="189">
        <f t="shared" si="124"/>
        <v>4316.9142857142861</v>
      </c>
      <c r="V793" s="170">
        <f t="shared" ref="V793:V858" si="125">U793-T793</f>
        <v>0.66136800118147221</v>
      </c>
      <c r="W793" s="170"/>
      <c r="X793" s="170"/>
      <c r="Y793" s="173">
        <f t="shared" ref="Y793:Y858" si="126">AA793*5221.8/I793</f>
        <v>4316.9142857142861</v>
      </c>
      <c r="AA793" s="173">
        <f t="shared" si="116"/>
        <v>559.6</v>
      </c>
      <c r="AH793" s="173" t="e">
        <f t="shared" si="117"/>
        <v>#N/A</v>
      </c>
      <c r="AS793" s="173" t="e">
        <f t="shared" si="118"/>
        <v>#N/A</v>
      </c>
    </row>
    <row r="794" spans="1:45" s="173" customFormat="1" ht="36" customHeight="1" x14ac:dyDescent="0.9">
      <c r="A794" s="173">
        <v>1</v>
      </c>
      <c r="B794" s="91">
        <f>SUBTOTAL(103,$A$546:A794)</f>
        <v>244</v>
      </c>
      <c r="C794" s="90" t="s">
        <v>642</v>
      </c>
      <c r="D794" s="185">
        <v>1962</v>
      </c>
      <c r="E794" s="185"/>
      <c r="F794" s="191" t="s">
        <v>273</v>
      </c>
      <c r="G794" s="185">
        <v>2</v>
      </c>
      <c r="H794" s="185">
        <v>2</v>
      </c>
      <c r="I794" s="186">
        <v>1671.6</v>
      </c>
      <c r="J794" s="186">
        <v>623.6</v>
      </c>
      <c r="K794" s="186">
        <v>623.6</v>
      </c>
      <c r="L794" s="187">
        <v>42</v>
      </c>
      <c r="M794" s="185" t="s">
        <v>271</v>
      </c>
      <c r="N794" s="185" t="s">
        <v>289</v>
      </c>
      <c r="O794" s="188" t="s">
        <v>274</v>
      </c>
      <c r="P794" s="189">
        <v>4923403</v>
      </c>
      <c r="Q794" s="189">
        <v>0</v>
      </c>
      <c r="R794" s="189">
        <v>0</v>
      </c>
      <c r="S794" s="189">
        <f t="shared" si="123"/>
        <v>4923403</v>
      </c>
      <c r="T794" s="189">
        <f t="shared" si="122"/>
        <v>2945.3236420196222</v>
      </c>
      <c r="U794" s="189">
        <f t="shared" si="124"/>
        <v>2945.7749461593685</v>
      </c>
      <c r="V794" s="170">
        <f t="shared" si="125"/>
        <v>0.45130413974629846</v>
      </c>
      <c r="W794" s="170"/>
      <c r="X794" s="170"/>
      <c r="Y794" s="173">
        <f t="shared" si="126"/>
        <v>2945.7749461593685</v>
      </c>
      <c r="AA794" s="173">
        <f t="shared" si="116"/>
        <v>943</v>
      </c>
      <c r="AH794" s="173" t="e">
        <f t="shared" si="117"/>
        <v>#N/A</v>
      </c>
      <c r="AS794" s="173" t="e">
        <f t="shared" si="118"/>
        <v>#N/A</v>
      </c>
    </row>
    <row r="795" spans="1:45" s="173" customFormat="1" ht="36" customHeight="1" x14ac:dyDescent="0.9">
      <c r="A795" s="173">
        <v>1</v>
      </c>
      <c r="B795" s="91">
        <f>SUBTOTAL(103,$A$546:A795)</f>
        <v>245</v>
      </c>
      <c r="C795" s="90" t="s">
        <v>641</v>
      </c>
      <c r="D795" s="185">
        <v>1956</v>
      </c>
      <c r="E795" s="185"/>
      <c r="F795" s="191" t="s">
        <v>273</v>
      </c>
      <c r="G795" s="185">
        <v>2</v>
      </c>
      <c r="H795" s="185">
        <v>1</v>
      </c>
      <c r="I795" s="186">
        <v>418.2</v>
      </c>
      <c r="J795" s="186">
        <v>261.2</v>
      </c>
      <c r="K795" s="186">
        <v>261.2</v>
      </c>
      <c r="L795" s="187">
        <v>21</v>
      </c>
      <c r="M795" s="185" t="s">
        <v>271</v>
      </c>
      <c r="N795" s="185" t="s">
        <v>272</v>
      </c>
      <c r="O795" s="188" t="s">
        <v>274</v>
      </c>
      <c r="P795" s="189">
        <v>2767130</v>
      </c>
      <c r="Q795" s="189">
        <v>0</v>
      </c>
      <c r="R795" s="189">
        <v>0</v>
      </c>
      <c r="S795" s="189">
        <f t="shared" si="123"/>
        <v>2767130</v>
      </c>
      <c r="T795" s="189">
        <f t="shared" si="122"/>
        <v>6616.7623146819706</v>
      </c>
      <c r="U795" s="189">
        <f t="shared" si="124"/>
        <v>6617.7761836441896</v>
      </c>
      <c r="V795" s="170">
        <f t="shared" si="125"/>
        <v>1.0138689622190213</v>
      </c>
      <c r="W795" s="170"/>
      <c r="X795" s="170"/>
      <c r="Y795" s="173">
        <f t="shared" si="126"/>
        <v>6617.7761836441896</v>
      </c>
      <c r="AA795" s="173">
        <f t="shared" si="116"/>
        <v>530</v>
      </c>
      <c r="AH795" s="173" t="e">
        <f t="shared" si="117"/>
        <v>#N/A</v>
      </c>
      <c r="AS795" s="173" t="e">
        <f t="shared" si="118"/>
        <v>#N/A</v>
      </c>
    </row>
    <row r="796" spans="1:45" s="173" customFormat="1" ht="36" customHeight="1" x14ac:dyDescent="0.9">
      <c r="A796" s="173">
        <v>1</v>
      </c>
      <c r="B796" s="91">
        <f>SUBTOTAL(103,$A$546:A796)</f>
        <v>246</v>
      </c>
      <c r="C796" s="90" t="s">
        <v>646</v>
      </c>
      <c r="D796" s="185">
        <v>1963</v>
      </c>
      <c r="E796" s="185"/>
      <c r="F796" s="191" t="s">
        <v>273</v>
      </c>
      <c r="G796" s="185">
        <v>9</v>
      </c>
      <c r="H796" s="185">
        <v>1</v>
      </c>
      <c r="I796" s="186">
        <v>2814.2</v>
      </c>
      <c r="J796" s="186">
        <v>388.96</v>
      </c>
      <c r="K796" s="186">
        <v>388.96</v>
      </c>
      <c r="L796" s="187">
        <v>13</v>
      </c>
      <c r="M796" s="185" t="s">
        <v>271</v>
      </c>
      <c r="N796" s="185" t="s">
        <v>275</v>
      </c>
      <c r="O796" s="188" t="s">
        <v>728</v>
      </c>
      <c r="P796" s="189">
        <v>2248303</v>
      </c>
      <c r="Q796" s="189">
        <v>0</v>
      </c>
      <c r="R796" s="189">
        <v>0</v>
      </c>
      <c r="S796" s="189">
        <f t="shared" si="123"/>
        <v>2248303</v>
      </c>
      <c r="T796" s="189">
        <f t="shared" si="122"/>
        <v>798.91372326060696</v>
      </c>
      <c r="U796" s="189">
        <f>T796</f>
        <v>798.91372326060696</v>
      </c>
      <c r="V796" s="170">
        <f t="shared" si="125"/>
        <v>0</v>
      </c>
      <c r="W796" s="170"/>
      <c r="X796" s="170"/>
      <c r="Y796" s="173" t="e">
        <f t="shared" si="126"/>
        <v>#N/A</v>
      </c>
      <c r="AA796" s="173" t="e">
        <f t="shared" ref="AA796:AA859" si="127">VLOOKUP(C796,AC:AE,2,FALSE)</f>
        <v>#N/A</v>
      </c>
      <c r="AH796" s="173" t="e">
        <f t="shared" ref="AH796:AH859" si="128">VLOOKUP(C796,AJ:AK,2,FALSE)</f>
        <v>#N/A</v>
      </c>
      <c r="AR796" s="173">
        <f>AS796*2207413/I796</f>
        <v>784.38383910169853</v>
      </c>
      <c r="AS796" s="173">
        <f t="shared" ref="AS796:AS859" si="129">VLOOKUP(C796,AU:AV,2,FALSE)</f>
        <v>1</v>
      </c>
    </row>
    <row r="797" spans="1:45" s="173" customFormat="1" ht="36" customHeight="1" x14ac:dyDescent="0.9">
      <c r="A797" s="173">
        <v>1</v>
      </c>
      <c r="B797" s="91">
        <f>SUBTOTAL(103,$A$546:A797)</f>
        <v>247</v>
      </c>
      <c r="C797" s="90" t="s">
        <v>653</v>
      </c>
      <c r="D797" s="185">
        <v>1990</v>
      </c>
      <c r="E797" s="185"/>
      <c r="F797" s="191" t="s">
        <v>273</v>
      </c>
      <c r="G797" s="185">
        <v>2</v>
      </c>
      <c r="H797" s="185">
        <v>1</v>
      </c>
      <c r="I797" s="186">
        <v>2805.67</v>
      </c>
      <c r="J797" s="186">
        <v>317</v>
      </c>
      <c r="K797" s="186">
        <v>317</v>
      </c>
      <c r="L797" s="187">
        <v>31</v>
      </c>
      <c r="M797" s="185" t="s">
        <v>271</v>
      </c>
      <c r="N797" s="185" t="s">
        <v>289</v>
      </c>
      <c r="O797" s="188" t="s">
        <v>274</v>
      </c>
      <c r="P797" s="189">
        <v>5495600.0099999998</v>
      </c>
      <c r="Q797" s="189">
        <v>0</v>
      </c>
      <c r="R797" s="189">
        <v>0</v>
      </c>
      <c r="S797" s="189">
        <f t="shared" si="123"/>
        <v>5495600.0099999998</v>
      </c>
      <c r="T797" s="189">
        <f t="shared" si="122"/>
        <v>1958.7478249402102</v>
      </c>
      <c r="U797" s="189">
        <f t="shared" ref="U797:U803" si="130">Y797</f>
        <v>2047.2756952884695</v>
      </c>
      <c r="V797" s="170">
        <f t="shared" si="125"/>
        <v>88.527870348259285</v>
      </c>
      <c r="W797" s="170"/>
      <c r="X797" s="170"/>
      <c r="Y797" s="173">
        <f t="shared" si="126"/>
        <v>2047.2756952884695</v>
      </c>
      <c r="AA797" s="173">
        <f t="shared" si="127"/>
        <v>1100</v>
      </c>
      <c r="AH797" s="173" t="e">
        <f t="shared" si="128"/>
        <v>#N/A</v>
      </c>
      <c r="AS797" s="173" t="e">
        <f t="shared" si="129"/>
        <v>#N/A</v>
      </c>
    </row>
    <row r="798" spans="1:45" s="173" customFormat="1" ht="36" customHeight="1" x14ac:dyDescent="0.9">
      <c r="A798" s="173">
        <v>1</v>
      </c>
      <c r="B798" s="91">
        <f>SUBTOTAL(103,$A$546:A798)</f>
        <v>248</v>
      </c>
      <c r="C798" s="90" t="s">
        <v>644</v>
      </c>
      <c r="D798" s="185">
        <v>1965</v>
      </c>
      <c r="E798" s="185"/>
      <c r="F798" s="191" t="s">
        <v>273</v>
      </c>
      <c r="G798" s="185">
        <v>5</v>
      </c>
      <c r="H798" s="185">
        <v>3</v>
      </c>
      <c r="I798" s="186">
        <v>2423.8000000000002</v>
      </c>
      <c r="J798" s="186">
        <v>2218.9</v>
      </c>
      <c r="K798" s="186">
        <v>2218.9</v>
      </c>
      <c r="L798" s="187">
        <v>120</v>
      </c>
      <c r="M798" s="185" t="s">
        <v>271</v>
      </c>
      <c r="N798" s="185" t="s">
        <v>275</v>
      </c>
      <c r="O798" s="188" t="s">
        <v>728</v>
      </c>
      <c r="P798" s="189">
        <v>4364006</v>
      </c>
      <c r="Q798" s="189">
        <v>0</v>
      </c>
      <c r="R798" s="189">
        <v>0</v>
      </c>
      <c r="S798" s="189">
        <f t="shared" si="123"/>
        <v>4364006</v>
      </c>
      <c r="T798" s="189">
        <f t="shared" si="122"/>
        <v>1800.4810627939598</v>
      </c>
      <c r="U798" s="189">
        <f t="shared" si="130"/>
        <v>1881.8558874494593</v>
      </c>
      <c r="V798" s="170">
        <f t="shared" si="125"/>
        <v>81.374824655499424</v>
      </c>
      <c r="W798" s="170"/>
      <c r="X798" s="170"/>
      <c r="Y798" s="173">
        <f t="shared" si="126"/>
        <v>1881.8558874494593</v>
      </c>
      <c r="AA798" s="173">
        <f t="shared" si="127"/>
        <v>873.5</v>
      </c>
      <c r="AH798" s="173" t="e">
        <f t="shared" si="128"/>
        <v>#N/A</v>
      </c>
      <c r="AS798" s="173" t="e">
        <f t="shared" si="129"/>
        <v>#N/A</v>
      </c>
    </row>
    <row r="799" spans="1:45" s="173" customFormat="1" ht="36" customHeight="1" x14ac:dyDescent="0.9">
      <c r="A799" s="173">
        <v>1</v>
      </c>
      <c r="B799" s="91">
        <f>SUBTOTAL(103,$A$546:A799)</f>
        <v>249</v>
      </c>
      <c r="C799" s="90" t="s">
        <v>1642</v>
      </c>
      <c r="D799" s="185">
        <v>1969</v>
      </c>
      <c r="E799" s="185"/>
      <c r="F799" s="191" t="s">
        <v>1643</v>
      </c>
      <c r="G799" s="185">
        <v>2</v>
      </c>
      <c r="H799" s="185">
        <v>2</v>
      </c>
      <c r="I799" s="189">
        <v>784.54</v>
      </c>
      <c r="J799" s="189">
        <v>723.44</v>
      </c>
      <c r="K799" s="189">
        <f>J799</f>
        <v>723.44</v>
      </c>
      <c r="L799" s="187">
        <v>28</v>
      </c>
      <c r="M799" s="185" t="s">
        <v>271</v>
      </c>
      <c r="N799" s="185" t="s">
        <v>275</v>
      </c>
      <c r="O799" s="188" t="s">
        <v>731</v>
      </c>
      <c r="P799" s="189">
        <v>3850862.6100000003</v>
      </c>
      <c r="Q799" s="189">
        <v>0</v>
      </c>
      <c r="R799" s="189">
        <v>0</v>
      </c>
      <c r="S799" s="189">
        <f t="shared" si="123"/>
        <v>3850862.6100000003</v>
      </c>
      <c r="T799" s="189">
        <f t="shared" si="122"/>
        <v>4908.4337446146792</v>
      </c>
      <c r="U799" s="189">
        <f t="shared" si="130"/>
        <v>5098.4000815764657</v>
      </c>
      <c r="V799" s="170">
        <f t="shared" si="125"/>
        <v>189.96633696178651</v>
      </c>
      <c r="W799" s="170"/>
      <c r="X799" s="170"/>
      <c r="Y799" s="173">
        <f t="shared" si="126"/>
        <v>5098.4000815764657</v>
      </c>
      <c r="AA799" s="173">
        <f t="shared" si="127"/>
        <v>766</v>
      </c>
      <c r="AH799" s="173" t="e">
        <f t="shared" si="128"/>
        <v>#N/A</v>
      </c>
      <c r="AS799" s="173" t="e">
        <f t="shared" si="129"/>
        <v>#N/A</v>
      </c>
    </row>
    <row r="800" spans="1:45" s="173" customFormat="1" ht="36" customHeight="1" x14ac:dyDescent="0.9">
      <c r="A800" s="173">
        <v>1</v>
      </c>
      <c r="B800" s="91">
        <f>SUBTOTAL(103,$A$546:A800)</f>
        <v>250</v>
      </c>
      <c r="C800" s="90" t="s">
        <v>1665</v>
      </c>
      <c r="D800" s="185">
        <v>1978</v>
      </c>
      <c r="E800" s="185"/>
      <c r="F800" s="191" t="s">
        <v>326</v>
      </c>
      <c r="G800" s="185">
        <v>5</v>
      </c>
      <c r="H800" s="185">
        <v>4</v>
      </c>
      <c r="I800" s="186">
        <v>2708</v>
      </c>
      <c r="J800" s="186">
        <v>1818.5</v>
      </c>
      <c r="K800" s="186">
        <f>J800-29.2</f>
        <v>1789.3</v>
      </c>
      <c r="L800" s="187">
        <v>123</v>
      </c>
      <c r="M800" s="185" t="s">
        <v>271</v>
      </c>
      <c r="N800" s="185" t="s">
        <v>275</v>
      </c>
      <c r="O800" s="188" t="s">
        <v>1699</v>
      </c>
      <c r="P800" s="189">
        <v>2693242.85</v>
      </c>
      <c r="Q800" s="189">
        <v>0</v>
      </c>
      <c r="R800" s="189">
        <v>0</v>
      </c>
      <c r="S800" s="189">
        <f t="shared" si="123"/>
        <v>2693242.85</v>
      </c>
      <c r="T800" s="189">
        <f t="shared" si="122"/>
        <v>994.55053545051703</v>
      </c>
      <c r="U800" s="189">
        <f t="shared" si="130"/>
        <v>1407.1285502215658</v>
      </c>
      <c r="V800" s="170">
        <f t="shared" si="125"/>
        <v>412.57801477104874</v>
      </c>
      <c r="W800" s="170"/>
      <c r="X800" s="170"/>
      <c r="Y800" s="173">
        <f t="shared" si="126"/>
        <v>1407.1285502215658</v>
      </c>
      <c r="AA800" s="173">
        <f t="shared" si="127"/>
        <v>729.73</v>
      </c>
      <c r="AH800" s="173" t="e">
        <f t="shared" si="128"/>
        <v>#N/A</v>
      </c>
      <c r="AS800" s="173" t="e">
        <f t="shared" si="129"/>
        <v>#N/A</v>
      </c>
    </row>
    <row r="801" spans="1:45" s="173" customFormat="1" ht="36" customHeight="1" x14ac:dyDescent="0.9">
      <c r="A801" s="173">
        <v>1</v>
      </c>
      <c r="B801" s="91">
        <f>SUBTOTAL(103,$A$546:A801)</f>
        <v>251</v>
      </c>
      <c r="C801" s="90" t="s">
        <v>1666</v>
      </c>
      <c r="D801" s="185">
        <v>1955</v>
      </c>
      <c r="E801" s="185"/>
      <c r="F801" s="191" t="s">
        <v>1371</v>
      </c>
      <c r="G801" s="185">
        <v>2</v>
      </c>
      <c r="H801" s="185">
        <v>1</v>
      </c>
      <c r="I801" s="186">
        <v>370.1</v>
      </c>
      <c r="J801" s="186">
        <v>335.1</v>
      </c>
      <c r="K801" s="186">
        <f>J801-161.7</f>
        <v>173.40000000000003</v>
      </c>
      <c r="L801" s="187">
        <v>28</v>
      </c>
      <c r="M801" s="185" t="s">
        <v>271</v>
      </c>
      <c r="N801" s="185" t="s">
        <v>275</v>
      </c>
      <c r="O801" s="188" t="s">
        <v>728</v>
      </c>
      <c r="P801" s="189">
        <v>2003970.19</v>
      </c>
      <c r="Q801" s="189">
        <v>0</v>
      </c>
      <c r="R801" s="189">
        <v>0</v>
      </c>
      <c r="S801" s="189">
        <f t="shared" si="123"/>
        <v>2003970.19</v>
      </c>
      <c r="T801" s="189">
        <f t="shared" si="122"/>
        <v>5414.672223723318</v>
      </c>
      <c r="U801" s="189">
        <f t="shared" si="130"/>
        <v>5414.6722129154277</v>
      </c>
      <c r="V801" s="170">
        <f t="shared" si="125"/>
        <v>-1.0807890248543117E-5</v>
      </c>
      <c r="W801" s="170"/>
      <c r="X801" s="170"/>
      <c r="Y801" s="173">
        <f t="shared" si="126"/>
        <v>5414.6722129154277</v>
      </c>
      <c r="AA801" s="173">
        <f t="shared" si="127"/>
        <v>383.77</v>
      </c>
      <c r="AH801" s="173" t="e">
        <f t="shared" si="128"/>
        <v>#N/A</v>
      </c>
      <c r="AS801" s="173" t="e">
        <f t="shared" si="129"/>
        <v>#N/A</v>
      </c>
    </row>
    <row r="802" spans="1:45" s="173" customFormat="1" ht="36" customHeight="1" x14ac:dyDescent="0.9">
      <c r="A802" s="173">
        <v>1</v>
      </c>
      <c r="B802" s="91">
        <f>SUBTOTAL(103,$A$546:A802)</f>
        <v>252</v>
      </c>
      <c r="C802" s="90" t="s">
        <v>1667</v>
      </c>
      <c r="D802" s="185">
        <v>1962</v>
      </c>
      <c r="E802" s="185"/>
      <c r="F802" s="191" t="s">
        <v>1371</v>
      </c>
      <c r="G802" s="185">
        <v>2</v>
      </c>
      <c r="H802" s="185">
        <v>4</v>
      </c>
      <c r="I802" s="186">
        <v>780.2</v>
      </c>
      <c r="J802" s="186">
        <v>709.6</v>
      </c>
      <c r="K802" s="186">
        <f>J802-25.5</f>
        <v>684.1</v>
      </c>
      <c r="L802" s="187">
        <v>27</v>
      </c>
      <c r="M802" s="185" t="s">
        <v>271</v>
      </c>
      <c r="N802" s="185" t="s">
        <v>272</v>
      </c>
      <c r="O802" s="188" t="s">
        <v>274</v>
      </c>
      <c r="P802" s="189">
        <v>3795204.2399999998</v>
      </c>
      <c r="Q802" s="189">
        <v>0</v>
      </c>
      <c r="R802" s="189">
        <v>0</v>
      </c>
      <c r="S802" s="189">
        <f t="shared" si="123"/>
        <v>3795204.2399999998</v>
      </c>
      <c r="T802" s="189">
        <f t="shared" si="122"/>
        <v>4864.3991796975133</v>
      </c>
      <c r="U802" s="189">
        <f t="shared" si="130"/>
        <v>4864.3991796975133</v>
      </c>
      <c r="V802" s="170">
        <f t="shared" si="125"/>
        <v>0</v>
      </c>
      <c r="W802" s="170"/>
      <c r="X802" s="170"/>
      <c r="Y802" s="173">
        <f t="shared" si="126"/>
        <v>4864.3991796975133</v>
      </c>
      <c r="AA802" s="173">
        <f t="shared" si="127"/>
        <v>726.8</v>
      </c>
      <c r="AH802" s="173" t="e">
        <f t="shared" si="128"/>
        <v>#N/A</v>
      </c>
      <c r="AS802" s="173" t="e">
        <f t="shared" si="129"/>
        <v>#N/A</v>
      </c>
    </row>
    <row r="803" spans="1:45" s="173" customFormat="1" ht="36" customHeight="1" x14ac:dyDescent="0.9">
      <c r="A803" s="173">
        <v>1</v>
      </c>
      <c r="B803" s="91">
        <f>SUBTOTAL(103,$A$546:A803)</f>
        <v>253</v>
      </c>
      <c r="C803" s="90" t="s">
        <v>1668</v>
      </c>
      <c r="D803" s="185">
        <v>1954</v>
      </c>
      <c r="E803" s="185"/>
      <c r="F803" s="191" t="s">
        <v>1371</v>
      </c>
      <c r="G803" s="185">
        <v>2</v>
      </c>
      <c r="H803" s="185">
        <v>2</v>
      </c>
      <c r="I803" s="186">
        <v>510.78</v>
      </c>
      <c r="J803" s="186">
        <v>472.98</v>
      </c>
      <c r="K803" s="186">
        <f>J803-13.1</f>
        <v>459.88</v>
      </c>
      <c r="L803" s="187">
        <v>19</v>
      </c>
      <c r="M803" s="185" t="s">
        <v>271</v>
      </c>
      <c r="N803" s="185" t="s">
        <v>275</v>
      </c>
      <c r="O803" s="188" t="s">
        <v>1345</v>
      </c>
      <c r="P803" s="189">
        <v>2221249.2799999998</v>
      </c>
      <c r="Q803" s="189">
        <v>0</v>
      </c>
      <c r="R803" s="189">
        <v>0</v>
      </c>
      <c r="S803" s="189">
        <f t="shared" si="123"/>
        <v>2221249.2799999998</v>
      </c>
      <c r="T803" s="189">
        <f t="shared" si="122"/>
        <v>4348.7397313912052</v>
      </c>
      <c r="U803" s="189">
        <f t="shared" si="130"/>
        <v>4348.7397392223656</v>
      </c>
      <c r="V803" s="170">
        <f t="shared" si="125"/>
        <v>7.8311604738701135E-6</v>
      </c>
      <c r="W803" s="170"/>
      <c r="X803" s="170"/>
      <c r="Y803" s="173">
        <f t="shared" si="126"/>
        <v>4348.7397392223656</v>
      </c>
      <c r="AA803" s="173">
        <f t="shared" si="127"/>
        <v>425.38</v>
      </c>
      <c r="AH803" s="173" t="e">
        <f t="shared" si="128"/>
        <v>#N/A</v>
      </c>
      <c r="AS803" s="173" t="e">
        <f t="shared" si="129"/>
        <v>#N/A</v>
      </c>
    </row>
    <row r="804" spans="1:45" s="173" customFormat="1" ht="36" customHeight="1" x14ac:dyDescent="0.9">
      <c r="A804" s="173">
        <v>1</v>
      </c>
      <c r="B804" s="91">
        <f>SUBTOTAL(103,$A$546:A804)</f>
        <v>254</v>
      </c>
      <c r="C804" s="90" t="s">
        <v>640</v>
      </c>
      <c r="D804" s="185">
        <v>1965</v>
      </c>
      <c r="E804" s="185"/>
      <c r="F804" s="191" t="s">
        <v>273</v>
      </c>
      <c r="G804" s="185">
        <v>5</v>
      </c>
      <c r="H804" s="185">
        <v>2</v>
      </c>
      <c r="I804" s="186">
        <v>4985.66</v>
      </c>
      <c r="J804" s="186">
        <v>2300.6799999999998</v>
      </c>
      <c r="K804" s="186">
        <v>2300.6799999999998</v>
      </c>
      <c r="L804" s="187">
        <v>202</v>
      </c>
      <c r="M804" s="185" t="s">
        <v>271</v>
      </c>
      <c r="N804" s="185" t="s">
        <v>275</v>
      </c>
      <c r="O804" s="188" t="s">
        <v>729</v>
      </c>
      <c r="P804" s="189">
        <v>16858961.600000001</v>
      </c>
      <c r="Q804" s="189">
        <v>0</v>
      </c>
      <c r="R804" s="189">
        <v>0</v>
      </c>
      <c r="S804" s="189">
        <f t="shared" si="123"/>
        <v>16858961.600000001</v>
      </c>
      <c r="T804" s="189">
        <f t="shared" si="122"/>
        <v>3381.4904345663367</v>
      </c>
      <c r="U804" s="189">
        <v>6936.7446957875181</v>
      </c>
      <c r="V804" s="170">
        <f t="shared" si="125"/>
        <v>3555.2542612211814</v>
      </c>
      <c r="W804" s="170"/>
      <c r="X804" s="170"/>
      <c r="Y804" s="173" t="e">
        <f t="shared" si="126"/>
        <v>#N/A</v>
      </c>
      <c r="AA804" s="173" t="e">
        <f t="shared" si="127"/>
        <v>#N/A</v>
      </c>
      <c r="AH804" s="173">
        <f t="shared" si="128"/>
        <v>1978</v>
      </c>
      <c r="AS804" s="173" t="e">
        <f t="shared" si="129"/>
        <v>#N/A</v>
      </c>
    </row>
    <row r="805" spans="1:45" s="173" customFormat="1" ht="36" customHeight="1" x14ac:dyDescent="0.9">
      <c r="B805" s="90" t="s">
        <v>841</v>
      </c>
      <c r="C805" s="90"/>
      <c r="D805" s="185" t="s">
        <v>915</v>
      </c>
      <c r="E805" s="185" t="s">
        <v>915</v>
      </c>
      <c r="F805" s="185" t="s">
        <v>915</v>
      </c>
      <c r="G805" s="185" t="s">
        <v>915</v>
      </c>
      <c r="H805" s="185" t="s">
        <v>915</v>
      </c>
      <c r="I805" s="186">
        <f>SUM(I806:I807)</f>
        <v>12179.5</v>
      </c>
      <c r="J805" s="186">
        <f>SUM(J806:J807)</f>
        <v>9281.2000000000007</v>
      </c>
      <c r="K805" s="186">
        <f>SUM(K806:K807)</f>
        <v>8817.5999999999985</v>
      </c>
      <c r="L805" s="187">
        <f>SUM(L806:L807)</f>
        <v>420</v>
      </c>
      <c r="M805" s="185" t="s">
        <v>915</v>
      </c>
      <c r="N805" s="185" t="s">
        <v>915</v>
      </c>
      <c r="O805" s="188" t="s">
        <v>915</v>
      </c>
      <c r="P805" s="186">
        <v>10075097.600000001</v>
      </c>
      <c r="Q805" s="186">
        <f>SUM(Q806:Q807)</f>
        <v>0</v>
      </c>
      <c r="R805" s="186">
        <f>SUM(R806:R807)</f>
        <v>0</v>
      </c>
      <c r="S805" s="186">
        <f>SUM(S806:S807)</f>
        <v>10075097.600000001</v>
      </c>
      <c r="T805" s="189">
        <f t="shared" si="122"/>
        <v>827.21766903403272</v>
      </c>
      <c r="U805" s="189">
        <f>MAX(U806:U807)</f>
        <v>890.1717632994621</v>
      </c>
      <c r="V805" s="170">
        <f t="shared" si="125"/>
        <v>62.954094265429376</v>
      </c>
      <c r="W805" s="170"/>
      <c r="X805" s="170"/>
      <c r="Y805" s="173" t="e">
        <f t="shared" si="126"/>
        <v>#N/A</v>
      </c>
      <c r="AA805" s="173" t="e">
        <f t="shared" si="127"/>
        <v>#N/A</v>
      </c>
      <c r="AH805" s="173" t="e">
        <f t="shared" si="128"/>
        <v>#N/A</v>
      </c>
      <c r="AS805" s="173" t="e">
        <f t="shared" si="129"/>
        <v>#N/A</v>
      </c>
    </row>
    <row r="806" spans="1:45" s="173" customFormat="1" ht="36" customHeight="1" x14ac:dyDescent="0.9">
      <c r="A806" s="173">
        <v>1</v>
      </c>
      <c r="B806" s="91">
        <f>SUBTOTAL(103,$A$546:A806)</f>
        <v>255</v>
      </c>
      <c r="C806" s="90" t="s">
        <v>662</v>
      </c>
      <c r="D806" s="185">
        <v>1981</v>
      </c>
      <c r="E806" s="185"/>
      <c r="F806" s="191" t="s">
        <v>319</v>
      </c>
      <c r="G806" s="185">
        <v>5</v>
      </c>
      <c r="H806" s="185">
        <v>7</v>
      </c>
      <c r="I806" s="186">
        <v>7160.5</v>
      </c>
      <c r="J806" s="186">
        <v>5349.7</v>
      </c>
      <c r="K806" s="186">
        <v>5077.8999999999996</v>
      </c>
      <c r="L806" s="187">
        <v>233</v>
      </c>
      <c r="M806" s="185" t="s">
        <v>271</v>
      </c>
      <c r="N806" s="185" t="s">
        <v>275</v>
      </c>
      <c r="O806" s="188" t="s">
        <v>733</v>
      </c>
      <c r="P806" s="189">
        <v>5608010</v>
      </c>
      <c r="Q806" s="189">
        <v>0</v>
      </c>
      <c r="R806" s="189">
        <v>0</v>
      </c>
      <c r="S806" s="189">
        <f>P806-Q806-R806</f>
        <v>5608010</v>
      </c>
      <c r="T806" s="189">
        <f t="shared" si="122"/>
        <v>783.18692828713074</v>
      </c>
      <c r="U806" s="189">
        <v>818.5839676000279</v>
      </c>
      <c r="V806" s="170">
        <f t="shared" si="125"/>
        <v>35.397039312897164</v>
      </c>
      <c r="W806" s="170"/>
      <c r="X806" s="170"/>
      <c r="Y806" s="173" t="e">
        <f t="shared" si="126"/>
        <v>#N/A</v>
      </c>
      <c r="AA806" s="173" t="e">
        <f t="shared" si="127"/>
        <v>#N/A</v>
      </c>
      <c r="AH806" s="173" t="e">
        <f t="shared" si="128"/>
        <v>#N/A</v>
      </c>
      <c r="AS806" s="173" t="e">
        <f t="shared" si="129"/>
        <v>#N/A</v>
      </c>
    </row>
    <row r="807" spans="1:45" s="173" customFormat="1" ht="36" customHeight="1" x14ac:dyDescent="0.9">
      <c r="A807" s="173">
        <v>1</v>
      </c>
      <c r="B807" s="91">
        <f>SUBTOTAL(103,$A$546:A807)</f>
        <v>256</v>
      </c>
      <c r="C807" s="90" t="s">
        <v>659</v>
      </c>
      <c r="D807" s="185">
        <v>1987</v>
      </c>
      <c r="E807" s="185"/>
      <c r="F807" s="191" t="s">
        <v>273</v>
      </c>
      <c r="G807" s="185">
        <v>5</v>
      </c>
      <c r="H807" s="185">
        <v>6</v>
      </c>
      <c r="I807" s="186">
        <v>5019</v>
      </c>
      <c r="J807" s="186">
        <v>3931.5</v>
      </c>
      <c r="K807" s="186">
        <v>3739.7</v>
      </c>
      <c r="L807" s="187">
        <v>187</v>
      </c>
      <c r="M807" s="185" t="s">
        <v>271</v>
      </c>
      <c r="N807" s="185" t="s">
        <v>275</v>
      </c>
      <c r="O807" s="188" t="s">
        <v>733</v>
      </c>
      <c r="P807" s="189">
        <v>4467087.6000000006</v>
      </c>
      <c r="Q807" s="189">
        <v>0</v>
      </c>
      <c r="R807" s="189">
        <v>0</v>
      </c>
      <c r="S807" s="189">
        <f>P807-Q807-R807</f>
        <v>4467087.6000000006</v>
      </c>
      <c r="T807" s="189">
        <f t="shared" si="122"/>
        <v>890.03538553496719</v>
      </c>
      <c r="U807" s="189">
        <f>Y807</f>
        <v>890.1717632994621</v>
      </c>
      <c r="V807" s="170">
        <f t="shared" si="125"/>
        <v>0.13637776449490957</v>
      </c>
      <c r="W807" s="170"/>
      <c r="X807" s="170"/>
      <c r="Y807" s="173">
        <f t="shared" si="126"/>
        <v>890.1717632994621</v>
      </c>
      <c r="AA807" s="173">
        <f t="shared" si="127"/>
        <v>855.6</v>
      </c>
      <c r="AH807" s="173" t="e">
        <f t="shared" si="128"/>
        <v>#N/A</v>
      </c>
      <c r="AS807" s="173" t="e">
        <f t="shared" si="129"/>
        <v>#N/A</v>
      </c>
    </row>
    <row r="808" spans="1:45" s="173" customFormat="1" ht="36" customHeight="1" x14ac:dyDescent="0.9">
      <c r="B808" s="90" t="s">
        <v>842</v>
      </c>
      <c r="C808" s="90"/>
      <c r="D808" s="185" t="s">
        <v>915</v>
      </c>
      <c r="E808" s="185" t="s">
        <v>915</v>
      </c>
      <c r="F808" s="185" t="s">
        <v>915</v>
      </c>
      <c r="G808" s="185" t="s">
        <v>915</v>
      </c>
      <c r="H808" s="185" t="s">
        <v>915</v>
      </c>
      <c r="I808" s="186">
        <f>SUM(I809:I812)</f>
        <v>3741.9999999999995</v>
      </c>
      <c r="J808" s="186">
        <f>SUM(J809:J812)</f>
        <v>3567.1</v>
      </c>
      <c r="K808" s="186">
        <f>SUM(K809:K812)</f>
        <v>2710.9</v>
      </c>
      <c r="L808" s="187">
        <f>SUM(L809:L812)</f>
        <v>153</v>
      </c>
      <c r="M808" s="185" t="s">
        <v>915</v>
      </c>
      <c r="N808" s="185" t="s">
        <v>915</v>
      </c>
      <c r="O808" s="188" t="s">
        <v>915</v>
      </c>
      <c r="P808" s="186">
        <v>13069363.829999998</v>
      </c>
      <c r="Q808" s="186">
        <f>SUM(Q809:Q812)</f>
        <v>0</v>
      </c>
      <c r="R808" s="186">
        <f>SUM(R809:R812)</f>
        <v>0</v>
      </c>
      <c r="S808" s="186">
        <f>SUM(S809:S812)</f>
        <v>13069363.829999998</v>
      </c>
      <c r="T808" s="189">
        <f t="shared" si="122"/>
        <v>3492.6145991448425</v>
      </c>
      <c r="U808" s="189">
        <f>MAX(U809:U812)</f>
        <v>10453.869946984569</v>
      </c>
      <c r="V808" s="170">
        <f t="shared" si="125"/>
        <v>6961.2553478397258</v>
      </c>
      <c r="W808" s="170"/>
      <c r="X808" s="170"/>
      <c r="Y808" s="173" t="e">
        <f t="shared" si="126"/>
        <v>#N/A</v>
      </c>
      <c r="AA808" s="173" t="e">
        <f t="shared" si="127"/>
        <v>#N/A</v>
      </c>
      <c r="AH808" s="173" t="e">
        <f t="shared" si="128"/>
        <v>#N/A</v>
      </c>
      <c r="AS808" s="173" t="e">
        <f t="shared" si="129"/>
        <v>#N/A</v>
      </c>
    </row>
    <row r="809" spans="1:45" s="173" customFormat="1" ht="36" customHeight="1" x14ac:dyDescent="0.9">
      <c r="A809" s="173">
        <v>1</v>
      </c>
      <c r="B809" s="91">
        <f>SUBTOTAL(103,$A$546:A809)</f>
        <v>257</v>
      </c>
      <c r="C809" s="90" t="s">
        <v>667</v>
      </c>
      <c r="D809" s="185">
        <v>1937</v>
      </c>
      <c r="E809" s="185"/>
      <c r="F809" s="191" t="s">
        <v>338</v>
      </c>
      <c r="G809" s="185">
        <v>2</v>
      </c>
      <c r="H809" s="185">
        <v>2</v>
      </c>
      <c r="I809" s="186">
        <v>423.5</v>
      </c>
      <c r="J809" s="186">
        <v>423.5</v>
      </c>
      <c r="K809" s="186">
        <v>301.89999999999998</v>
      </c>
      <c r="L809" s="187">
        <v>26</v>
      </c>
      <c r="M809" s="185" t="s">
        <v>271</v>
      </c>
      <c r="N809" s="185" t="s">
        <v>289</v>
      </c>
      <c r="O809" s="188" t="s">
        <v>274</v>
      </c>
      <c r="P809" s="189">
        <v>1801245</v>
      </c>
      <c r="Q809" s="189">
        <v>0</v>
      </c>
      <c r="R809" s="189">
        <v>0</v>
      </c>
      <c r="S809" s="189">
        <f>P809-Q809-R809</f>
        <v>1801245</v>
      </c>
      <c r="T809" s="189">
        <f t="shared" si="122"/>
        <v>4253.2349468713101</v>
      </c>
      <c r="U809" s="189">
        <f>Y809</f>
        <v>4253.88665879575</v>
      </c>
      <c r="V809" s="170">
        <f t="shared" si="125"/>
        <v>0.65171192443995096</v>
      </c>
      <c r="W809" s="170"/>
      <c r="X809" s="170"/>
      <c r="Y809" s="173">
        <f t="shared" si="126"/>
        <v>4253.88665879575</v>
      </c>
      <c r="AA809" s="173">
        <f t="shared" si="127"/>
        <v>345</v>
      </c>
      <c r="AH809" s="173" t="e">
        <f t="shared" si="128"/>
        <v>#N/A</v>
      </c>
      <c r="AS809" s="173" t="e">
        <f t="shared" si="129"/>
        <v>#N/A</v>
      </c>
    </row>
    <row r="810" spans="1:45" s="173" customFormat="1" ht="36" customHeight="1" x14ac:dyDescent="0.9">
      <c r="A810" s="173">
        <v>1</v>
      </c>
      <c r="B810" s="91">
        <f>SUBTOTAL(103,$A$546:A810)</f>
        <v>258</v>
      </c>
      <c r="C810" s="90" t="s">
        <v>668</v>
      </c>
      <c r="D810" s="185">
        <v>1952</v>
      </c>
      <c r="E810" s="185"/>
      <c r="F810" s="191" t="s">
        <v>273</v>
      </c>
      <c r="G810" s="185">
        <v>2</v>
      </c>
      <c r="H810" s="185">
        <v>2</v>
      </c>
      <c r="I810" s="186">
        <v>906.8</v>
      </c>
      <c r="J810" s="186">
        <v>836.1</v>
      </c>
      <c r="K810" s="186">
        <v>538</v>
      </c>
      <c r="L810" s="187">
        <v>33</v>
      </c>
      <c r="M810" s="185" t="s">
        <v>271</v>
      </c>
      <c r="N810" s="185" t="s">
        <v>275</v>
      </c>
      <c r="O810" s="188" t="s">
        <v>734</v>
      </c>
      <c r="P810" s="189">
        <v>4223945.63</v>
      </c>
      <c r="Q810" s="189">
        <v>0</v>
      </c>
      <c r="R810" s="189">
        <v>0</v>
      </c>
      <c r="S810" s="189">
        <f>P810-Q810-R810</f>
        <v>4223945.63</v>
      </c>
      <c r="T810" s="189">
        <f t="shared" si="122"/>
        <v>4658.0785509483903</v>
      </c>
      <c r="U810" s="189">
        <f>Y810+AG810</f>
        <v>10453.869946984569</v>
      </c>
      <c r="V810" s="170">
        <f t="shared" si="125"/>
        <v>5795.7913960361784</v>
      </c>
      <c r="W810" s="170"/>
      <c r="X810" s="170"/>
      <c r="Y810" s="173">
        <f t="shared" si="126"/>
        <v>4658.7922959858852</v>
      </c>
      <c r="AA810" s="173">
        <f t="shared" si="127"/>
        <v>809.03</v>
      </c>
      <c r="AG810" s="173">
        <f>AH810*6191.24/J810</f>
        <v>5795.0776509986836</v>
      </c>
      <c r="AH810" s="173">
        <f t="shared" si="128"/>
        <v>782.6</v>
      </c>
      <c r="AS810" s="173" t="e">
        <f t="shared" si="129"/>
        <v>#N/A</v>
      </c>
    </row>
    <row r="811" spans="1:45" s="173" customFormat="1" ht="36" customHeight="1" x14ac:dyDescent="0.9">
      <c r="A811" s="173">
        <v>1</v>
      </c>
      <c r="B811" s="91">
        <f>SUBTOTAL(103,$A$546:A811)</f>
        <v>259</v>
      </c>
      <c r="C811" s="90" t="s">
        <v>669</v>
      </c>
      <c r="D811" s="185">
        <v>1975</v>
      </c>
      <c r="E811" s="185"/>
      <c r="F811" s="191" t="s">
        <v>273</v>
      </c>
      <c r="G811" s="185">
        <v>3</v>
      </c>
      <c r="H811" s="185">
        <v>2</v>
      </c>
      <c r="I811" s="186">
        <v>1248.5999999999999</v>
      </c>
      <c r="J811" s="186">
        <v>1248.5999999999999</v>
      </c>
      <c r="K811" s="186">
        <v>1155.9000000000001</v>
      </c>
      <c r="L811" s="187">
        <v>54</v>
      </c>
      <c r="M811" s="185" t="s">
        <v>271</v>
      </c>
      <c r="N811" s="185" t="s">
        <v>275</v>
      </c>
      <c r="O811" s="188" t="s">
        <v>728</v>
      </c>
      <c r="P811" s="189">
        <v>3905308</v>
      </c>
      <c r="Q811" s="189">
        <v>0</v>
      </c>
      <c r="R811" s="189">
        <v>0</v>
      </c>
      <c r="S811" s="189">
        <f>P811-Q811-R811</f>
        <v>3905308</v>
      </c>
      <c r="T811" s="189">
        <f t="shared" si="122"/>
        <v>3127.749479416947</v>
      </c>
      <c r="U811" s="189">
        <f>Y811</f>
        <v>3128.228736184527</v>
      </c>
      <c r="V811" s="170">
        <f t="shared" si="125"/>
        <v>0.47925676757995461</v>
      </c>
      <c r="W811" s="170"/>
      <c r="X811" s="170"/>
      <c r="Y811" s="173">
        <f t="shared" si="126"/>
        <v>3128.228736184527</v>
      </c>
      <c r="AA811" s="173">
        <f t="shared" si="127"/>
        <v>748</v>
      </c>
      <c r="AH811" s="173" t="e">
        <f t="shared" si="128"/>
        <v>#N/A</v>
      </c>
      <c r="AS811" s="173" t="e">
        <f t="shared" si="129"/>
        <v>#N/A</v>
      </c>
    </row>
    <row r="812" spans="1:45" s="173" customFormat="1" ht="36" customHeight="1" x14ac:dyDescent="0.9">
      <c r="A812" s="173">
        <v>1</v>
      </c>
      <c r="B812" s="91">
        <f>SUBTOTAL(103,$A$546:A812)</f>
        <v>260</v>
      </c>
      <c r="C812" s="90" t="s">
        <v>666</v>
      </c>
      <c r="D812" s="185">
        <v>1959</v>
      </c>
      <c r="E812" s="185"/>
      <c r="F812" s="191" t="s">
        <v>273</v>
      </c>
      <c r="G812" s="185">
        <v>3</v>
      </c>
      <c r="H812" s="185">
        <v>3</v>
      </c>
      <c r="I812" s="186">
        <v>1163.0999999999999</v>
      </c>
      <c r="J812" s="186">
        <v>1058.9000000000001</v>
      </c>
      <c r="K812" s="186">
        <v>715.1</v>
      </c>
      <c r="L812" s="187">
        <v>40</v>
      </c>
      <c r="M812" s="185" t="s">
        <v>271</v>
      </c>
      <c r="N812" s="185" t="s">
        <v>275</v>
      </c>
      <c r="O812" s="188" t="s">
        <v>734</v>
      </c>
      <c r="P812" s="189">
        <v>3138865.1999999997</v>
      </c>
      <c r="Q812" s="189">
        <v>0</v>
      </c>
      <c r="R812" s="189">
        <v>0</v>
      </c>
      <c r="S812" s="189">
        <f>P812-Q812-R812</f>
        <v>3138865.1999999997</v>
      </c>
      <c r="T812" s="189">
        <f t="shared" si="122"/>
        <v>2698.7062161465051</v>
      </c>
      <c r="U812" s="189">
        <f>Y812</f>
        <v>2699.1197317513543</v>
      </c>
      <c r="V812" s="170">
        <f t="shared" si="125"/>
        <v>0.41351560484918082</v>
      </c>
      <c r="W812" s="170"/>
      <c r="X812" s="170"/>
      <c r="Y812" s="173">
        <f t="shared" si="126"/>
        <v>2699.1197317513543</v>
      </c>
      <c r="AA812" s="173">
        <f t="shared" si="127"/>
        <v>601.20000000000005</v>
      </c>
      <c r="AH812" s="173" t="e">
        <f t="shared" si="128"/>
        <v>#N/A</v>
      </c>
      <c r="AS812" s="173" t="e">
        <f t="shared" si="129"/>
        <v>#N/A</v>
      </c>
    </row>
    <row r="813" spans="1:45" s="173" customFormat="1" ht="36" customHeight="1" x14ac:dyDescent="0.9">
      <c r="B813" s="90" t="s">
        <v>843</v>
      </c>
      <c r="C813" s="90"/>
      <c r="D813" s="185" t="s">
        <v>915</v>
      </c>
      <c r="E813" s="185" t="s">
        <v>915</v>
      </c>
      <c r="F813" s="185" t="s">
        <v>915</v>
      </c>
      <c r="G813" s="185" t="s">
        <v>915</v>
      </c>
      <c r="H813" s="185" t="s">
        <v>915</v>
      </c>
      <c r="I813" s="186">
        <f>SUM(I814:I815)</f>
        <v>6782.4000000000005</v>
      </c>
      <c r="J813" s="186">
        <f>SUM(J814:J815)</f>
        <v>5456.1</v>
      </c>
      <c r="K813" s="186">
        <f>SUM(K814:K815)</f>
        <v>5456.1</v>
      </c>
      <c r="L813" s="187">
        <f>SUM(L814:L815)</f>
        <v>246</v>
      </c>
      <c r="M813" s="185" t="s">
        <v>915</v>
      </c>
      <c r="N813" s="185" t="s">
        <v>915</v>
      </c>
      <c r="O813" s="188" t="s">
        <v>915</v>
      </c>
      <c r="P813" s="186">
        <v>9045880.0099999998</v>
      </c>
      <c r="Q813" s="186">
        <f>SUM(Q814:Q815)</f>
        <v>0</v>
      </c>
      <c r="R813" s="186">
        <f>SUM(R814:R815)</f>
        <v>0</v>
      </c>
      <c r="S813" s="186">
        <f>SUM(S814:S815)</f>
        <v>9045880.0099999998</v>
      </c>
      <c r="T813" s="189">
        <f t="shared" si="122"/>
        <v>1333.7284751710308</v>
      </c>
      <c r="U813" s="189">
        <f>MAX(U814:U815)</f>
        <v>2194.1691898906261</v>
      </c>
      <c r="V813" s="170">
        <f t="shared" si="125"/>
        <v>860.44071471959523</v>
      </c>
      <c r="W813" s="170"/>
      <c r="X813" s="170"/>
      <c r="Y813" s="173" t="e">
        <f t="shared" si="126"/>
        <v>#N/A</v>
      </c>
      <c r="AA813" s="173" t="e">
        <f t="shared" si="127"/>
        <v>#N/A</v>
      </c>
      <c r="AH813" s="173" t="e">
        <f t="shared" si="128"/>
        <v>#N/A</v>
      </c>
      <c r="AS813" s="173" t="e">
        <f t="shared" si="129"/>
        <v>#N/A</v>
      </c>
    </row>
    <row r="814" spans="1:45" s="173" customFormat="1" ht="36" customHeight="1" x14ac:dyDescent="0.9">
      <c r="A814" s="173">
        <v>1</v>
      </c>
      <c r="B814" s="91">
        <f>SUBTOTAL(103,$A$546:A814)</f>
        <v>261</v>
      </c>
      <c r="C814" s="90" t="s">
        <v>674</v>
      </c>
      <c r="D814" s="185">
        <v>1977</v>
      </c>
      <c r="E814" s="185"/>
      <c r="F814" s="191" t="s">
        <v>273</v>
      </c>
      <c r="G814" s="185">
        <v>3</v>
      </c>
      <c r="H814" s="185">
        <v>1</v>
      </c>
      <c r="I814" s="186">
        <v>1618.3</v>
      </c>
      <c r="J814" s="186">
        <v>1618.3</v>
      </c>
      <c r="K814" s="186">
        <v>1618.3</v>
      </c>
      <c r="L814" s="187">
        <v>48</v>
      </c>
      <c r="M814" s="185" t="s">
        <v>271</v>
      </c>
      <c r="N814" s="185" t="s">
        <v>275</v>
      </c>
      <c r="O814" s="188" t="s">
        <v>1017</v>
      </c>
      <c r="P814" s="189">
        <v>3550280</v>
      </c>
      <c r="Q814" s="189">
        <v>0</v>
      </c>
      <c r="R814" s="189">
        <v>0</v>
      </c>
      <c r="S814" s="189">
        <f>P814-Q814-R814</f>
        <v>3550280</v>
      </c>
      <c r="T814" s="189">
        <f t="shared" si="122"/>
        <v>2193.8330346660077</v>
      </c>
      <c r="U814" s="189">
        <f>Y814</f>
        <v>2194.1691898906261</v>
      </c>
      <c r="V814" s="170">
        <f t="shared" si="125"/>
        <v>0.3361552246183237</v>
      </c>
      <c r="W814" s="170"/>
      <c r="X814" s="170"/>
      <c r="Y814" s="173">
        <f t="shared" si="126"/>
        <v>2194.1691898906261</v>
      </c>
      <c r="AA814" s="173">
        <f t="shared" si="127"/>
        <v>680</v>
      </c>
      <c r="AH814" s="173" t="e">
        <f t="shared" si="128"/>
        <v>#N/A</v>
      </c>
      <c r="AS814" s="173" t="e">
        <f t="shared" si="129"/>
        <v>#N/A</v>
      </c>
    </row>
    <row r="815" spans="1:45" s="173" customFormat="1" ht="36" customHeight="1" x14ac:dyDescent="0.9">
      <c r="A815" s="173">
        <v>1</v>
      </c>
      <c r="B815" s="91">
        <f>SUBTOTAL(103,$A$546:A815)</f>
        <v>262</v>
      </c>
      <c r="C815" s="90" t="s">
        <v>677</v>
      </c>
      <c r="D815" s="185">
        <v>1986</v>
      </c>
      <c r="E815" s="185"/>
      <c r="F815" s="191" t="s">
        <v>273</v>
      </c>
      <c r="G815" s="185">
        <v>5</v>
      </c>
      <c r="H815" s="185">
        <v>6</v>
      </c>
      <c r="I815" s="186">
        <v>5164.1000000000004</v>
      </c>
      <c r="J815" s="186">
        <v>3837.8</v>
      </c>
      <c r="K815" s="186">
        <v>3837.8</v>
      </c>
      <c r="L815" s="187">
        <v>198</v>
      </c>
      <c r="M815" s="185" t="s">
        <v>271</v>
      </c>
      <c r="N815" s="185" t="s">
        <v>275</v>
      </c>
      <c r="O815" s="188" t="s">
        <v>738</v>
      </c>
      <c r="P815" s="189">
        <v>5495600.0099999998</v>
      </c>
      <c r="Q815" s="189">
        <v>0</v>
      </c>
      <c r="R815" s="189">
        <v>0</v>
      </c>
      <c r="S815" s="189">
        <f>P815-Q815-R815</f>
        <v>5495600.0099999998</v>
      </c>
      <c r="T815" s="189">
        <f t="shared" si="122"/>
        <v>1064.1931817741715</v>
      </c>
      <c r="U815" s="189">
        <f>Y815</f>
        <v>1112.2906217927614</v>
      </c>
      <c r="V815" s="170">
        <f t="shared" si="125"/>
        <v>48.09744001858985</v>
      </c>
      <c r="W815" s="170"/>
      <c r="X815" s="170"/>
      <c r="Y815" s="173">
        <f t="shared" si="126"/>
        <v>1112.2906217927614</v>
      </c>
      <c r="AA815" s="173">
        <f t="shared" si="127"/>
        <v>1100</v>
      </c>
      <c r="AH815" s="173" t="e">
        <f t="shared" si="128"/>
        <v>#N/A</v>
      </c>
      <c r="AS815" s="173" t="e">
        <f t="shared" si="129"/>
        <v>#N/A</v>
      </c>
    </row>
    <row r="816" spans="1:45" s="173" customFormat="1" ht="36" customHeight="1" x14ac:dyDescent="0.9">
      <c r="B816" s="90" t="s">
        <v>844</v>
      </c>
      <c r="C816" s="192"/>
      <c r="D816" s="185" t="s">
        <v>915</v>
      </c>
      <c r="E816" s="185" t="s">
        <v>915</v>
      </c>
      <c r="F816" s="185" t="s">
        <v>915</v>
      </c>
      <c r="G816" s="185" t="s">
        <v>915</v>
      </c>
      <c r="H816" s="185" t="s">
        <v>915</v>
      </c>
      <c r="I816" s="186">
        <f>SUM(I817:I817)</f>
        <v>2780.7</v>
      </c>
      <c r="J816" s="186">
        <f>SUM(J817:J817)</f>
        <v>1662.8</v>
      </c>
      <c r="K816" s="186">
        <f>SUM(K817:K817)</f>
        <v>1629.7</v>
      </c>
      <c r="L816" s="187">
        <f>SUM(L817:L817)</f>
        <v>103</v>
      </c>
      <c r="M816" s="185" t="s">
        <v>915</v>
      </c>
      <c r="N816" s="185" t="s">
        <v>915</v>
      </c>
      <c r="O816" s="188" t="s">
        <v>915</v>
      </c>
      <c r="P816" s="186">
        <v>2579501.7000000002</v>
      </c>
      <c r="Q816" s="186">
        <f>SUM(Q817:Q817)</f>
        <v>0</v>
      </c>
      <c r="R816" s="186">
        <f>SUM(R817:R817)</f>
        <v>0</v>
      </c>
      <c r="S816" s="186">
        <f>SUM(S817:S817)</f>
        <v>2579501.7000000002</v>
      </c>
      <c r="T816" s="189">
        <f t="shared" si="122"/>
        <v>927.64472974430907</v>
      </c>
      <c r="U816" s="189">
        <f>MAX(U817:U817)</f>
        <v>1690.0852303376848</v>
      </c>
      <c r="V816" s="170">
        <f t="shared" si="125"/>
        <v>762.44050059337576</v>
      </c>
      <c r="W816" s="170"/>
      <c r="X816" s="170"/>
      <c r="Y816" s="173" t="e">
        <f t="shared" si="126"/>
        <v>#N/A</v>
      </c>
      <c r="AA816" s="173" t="e">
        <f t="shared" si="127"/>
        <v>#N/A</v>
      </c>
      <c r="AH816" s="173" t="e">
        <f t="shared" si="128"/>
        <v>#N/A</v>
      </c>
      <c r="AS816" s="173" t="e">
        <f t="shared" si="129"/>
        <v>#N/A</v>
      </c>
    </row>
    <row r="817" spans="1:194" s="173" customFormat="1" ht="36" customHeight="1" x14ac:dyDescent="0.9">
      <c r="A817" s="173">
        <v>1</v>
      </c>
      <c r="B817" s="91">
        <f>SUBTOTAL(103,$A$546:A817)</f>
        <v>263</v>
      </c>
      <c r="C817" s="90" t="s">
        <v>784</v>
      </c>
      <c r="D817" s="185">
        <v>1985</v>
      </c>
      <c r="E817" s="185"/>
      <c r="F817" s="191" t="s">
        <v>273</v>
      </c>
      <c r="G817" s="185">
        <v>5</v>
      </c>
      <c r="H817" s="185">
        <v>4</v>
      </c>
      <c r="I817" s="186">
        <v>2780.7</v>
      </c>
      <c r="J817" s="186">
        <v>1662.8</v>
      </c>
      <c r="K817" s="186">
        <v>1629.7</v>
      </c>
      <c r="L817" s="187">
        <v>103</v>
      </c>
      <c r="M817" s="185" t="s">
        <v>271</v>
      </c>
      <c r="N817" s="185" t="s">
        <v>349</v>
      </c>
      <c r="O817" s="188" t="s">
        <v>743</v>
      </c>
      <c r="P817" s="189">
        <v>2579501.7000000002</v>
      </c>
      <c r="Q817" s="189">
        <v>0</v>
      </c>
      <c r="R817" s="189">
        <v>0</v>
      </c>
      <c r="S817" s="189">
        <f>P817-Q817-R817</f>
        <v>2579501.7000000002</v>
      </c>
      <c r="T817" s="189">
        <f t="shared" si="122"/>
        <v>927.64472974430907</v>
      </c>
      <c r="U817" s="189">
        <f>Y817</f>
        <v>1690.0852303376848</v>
      </c>
      <c r="V817" s="170">
        <f t="shared" si="125"/>
        <v>762.44050059337576</v>
      </c>
      <c r="W817" s="170"/>
      <c r="X817" s="170"/>
      <c r="Y817" s="173">
        <f t="shared" si="126"/>
        <v>1690.0852303376848</v>
      </c>
      <c r="AA817" s="173">
        <f t="shared" si="127"/>
        <v>900</v>
      </c>
      <c r="AH817" s="173" t="e">
        <f t="shared" si="128"/>
        <v>#N/A</v>
      </c>
      <c r="AS817" s="173" t="e">
        <f t="shared" si="129"/>
        <v>#N/A</v>
      </c>
    </row>
    <row r="818" spans="1:194" s="173" customFormat="1" ht="36" customHeight="1" x14ac:dyDescent="0.9">
      <c r="B818" s="90" t="s">
        <v>846</v>
      </c>
      <c r="C818" s="90"/>
      <c r="D818" s="185" t="s">
        <v>915</v>
      </c>
      <c r="E818" s="185" t="s">
        <v>915</v>
      </c>
      <c r="F818" s="185" t="s">
        <v>915</v>
      </c>
      <c r="G818" s="185" t="s">
        <v>915</v>
      </c>
      <c r="H818" s="185" t="s">
        <v>915</v>
      </c>
      <c r="I818" s="186">
        <f>SUM(I819:I820)</f>
        <v>983.7</v>
      </c>
      <c r="J818" s="186">
        <f>SUM(J819:J820)</f>
        <v>875.3</v>
      </c>
      <c r="K818" s="186">
        <f>SUM(K819:K820)</f>
        <v>203.5</v>
      </c>
      <c r="L818" s="187">
        <f>SUM(L819:L820)</f>
        <v>39</v>
      </c>
      <c r="M818" s="185" t="s">
        <v>915</v>
      </c>
      <c r="N818" s="185" t="s">
        <v>915</v>
      </c>
      <c r="O818" s="188" t="s">
        <v>915</v>
      </c>
      <c r="P818" s="186">
        <v>3008567.42</v>
      </c>
      <c r="Q818" s="186">
        <f>SUM(Q819:Q820)</f>
        <v>0</v>
      </c>
      <c r="R818" s="186">
        <f>SUM(R819:R820)</f>
        <v>0</v>
      </c>
      <c r="S818" s="186">
        <f>SUM(S819:S820)</f>
        <v>3008567.42</v>
      </c>
      <c r="T818" s="189">
        <f t="shared" si="122"/>
        <v>3058.419660465589</v>
      </c>
      <c r="U818" s="189">
        <f>MAX(U819:U820)</f>
        <v>4777.7542589437826</v>
      </c>
      <c r="V818" s="170">
        <f t="shared" si="125"/>
        <v>1719.3345984781936</v>
      </c>
      <c r="W818" s="170"/>
      <c r="X818" s="170"/>
      <c r="Y818" s="173" t="e">
        <f t="shared" si="126"/>
        <v>#N/A</v>
      </c>
      <c r="AA818" s="173" t="e">
        <f t="shared" si="127"/>
        <v>#N/A</v>
      </c>
      <c r="AH818" s="173" t="e">
        <f t="shared" si="128"/>
        <v>#N/A</v>
      </c>
      <c r="AS818" s="173" t="e">
        <f t="shared" si="129"/>
        <v>#N/A</v>
      </c>
    </row>
    <row r="819" spans="1:194" s="173" customFormat="1" ht="36" customHeight="1" x14ac:dyDescent="0.9">
      <c r="A819" s="173">
        <v>1</v>
      </c>
      <c r="B819" s="91">
        <f>SUBTOTAL(103,$A$546:A819)</f>
        <v>264</v>
      </c>
      <c r="C819" s="90" t="s">
        <v>710</v>
      </c>
      <c r="D819" s="185">
        <v>1975</v>
      </c>
      <c r="E819" s="185"/>
      <c r="F819" s="191" t="s">
        <v>273</v>
      </c>
      <c r="G819" s="185">
        <v>2</v>
      </c>
      <c r="H819" s="185">
        <v>2</v>
      </c>
      <c r="I819" s="186">
        <v>704.4</v>
      </c>
      <c r="J819" s="186">
        <v>617.79999999999995</v>
      </c>
      <c r="K819" s="186">
        <v>171.4</v>
      </c>
      <c r="L819" s="187">
        <v>22</v>
      </c>
      <c r="M819" s="185" t="s">
        <v>271</v>
      </c>
      <c r="N819" s="185" t="s">
        <v>272</v>
      </c>
      <c r="O819" s="188" t="s">
        <v>274</v>
      </c>
      <c r="P819" s="189">
        <v>2605803.73</v>
      </c>
      <c r="Q819" s="189">
        <v>0</v>
      </c>
      <c r="R819" s="189">
        <v>0</v>
      </c>
      <c r="S819" s="189">
        <f>P819-Q819-R819</f>
        <v>2605803.73</v>
      </c>
      <c r="T819" s="189">
        <f t="shared" si="122"/>
        <v>3699.3238642816582</v>
      </c>
      <c r="U819" s="189">
        <f>Y819</f>
        <v>4777.7542589437826</v>
      </c>
      <c r="V819" s="170">
        <f t="shared" si="125"/>
        <v>1078.4303946621244</v>
      </c>
      <c r="W819" s="170"/>
      <c r="X819" s="170"/>
      <c r="Y819" s="173">
        <f t="shared" si="126"/>
        <v>4777.7542589437826</v>
      </c>
      <c r="AA819" s="173">
        <f t="shared" si="127"/>
        <v>644.5</v>
      </c>
      <c r="AH819" s="173" t="e">
        <f t="shared" si="128"/>
        <v>#N/A</v>
      </c>
      <c r="AS819" s="173" t="e">
        <f t="shared" si="129"/>
        <v>#N/A</v>
      </c>
    </row>
    <row r="820" spans="1:194" s="173" customFormat="1" ht="36" customHeight="1" x14ac:dyDescent="0.9">
      <c r="A820" s="173">
        <v>1</v>
      </c>
      <c r="B820" s="91">
        <f>SUBTOTAL(103,$A$546:A820)</f>
        <v>265</v>
      </c>
      <c r="C820" s="90" t="s">
        <v>701</v>
      </c>
      <c r="D820" s="185">
        <v>1961</v>
      </c>
      <c r="E820" s="185"/>
      <c r="F820" s="191" t="s">
        <v>273</v>
      </c>
      <c r="G820" s="185">
        <v>2</v>
      </c>
      <c r="H820" s="185">
        <v>1</v>
      </c>
      <c r="I820" s="186">
        <v>279.3</v>
      </c>
      <c r="J820" s="186">
        <v>257.5</v>
      </c>
      <c r="K820" s="186">
        <v>32.1</v>
      </c>
      <c r="L820" s="187">
        <v>17</v>
      </c>
      <c r="M820" s="185" t="s">
        <v>271</v>
      </c>
      <c r="N820" s="185" t="s">
        <v>272</v>
      </c>
      <c r="O820" s="188" t="s">
        <v>274</v>
      </c>
      <c r="P820" s="189">
        <v>402763.69</v>
      </c>
      <c r="Q820" s="189">
        <v>0</v>
      </c>
      <c r="R820" s="189">
        <v>0</v>
      </c>
      <c r="S820" s="189">
        <f>P820-Q820-R820</f>
        <v>402763.69</v>
      </c>
      <c r="T820" s="189">
        <f t="shared" si="122"/>
        <v>1442.0468671679198</v>
      </c>
      <c r="U820" s="189">
        <v>1442.0468671679198</v>
      </c>
      <c r="V820" s="170">
        <f t="shared" si="125"/>
        <v>0</v>
      </c>
      <c r="W820" s="170"/>
      <c r="X820" s="170"/>
      <c r="Y820" s="173" t="e">
        <f t="shared" si="126"/>
        <v>#N/A</v>
      </c>
      <c r="AA820" s="173" t="e">
        <f t="shared" si="127"/>
        <v>#N/A</v>
      </c>
      <c r="AH820" s="173" t="e">
        <f t="shared" si="128"/>
        <v>#N/A</v>
      </c>
      <c r="AS820" s="173" t="e">
        <f t="shared" si="129"/>
        <v>#N/A</v>
      </c>
    </row>
    <row r="821" spans="1:194" s="173" customFormat="1" ht="36" customHeight="1" x14ac:dyDescent="0.9">
      <c r="B821" s="90" t="s">
        <v>891</v>
      </c>
      <c r="C821" s="90"/>
      <c r="D821" s="185" t="s">
        <v>915</v>
      </c>
      <c r="E821" s="185" t="s">
        <v>915</v>
      </c>
      <c r="F821" s="185" t="s">
        <v>915</v>
      </c>
      <c r="G821" s="185" t="s">
        <v>915</v>
      </c>
      <c r="H821" s="185" t="s">
        <v>915</v>
      </c>
      <c r="I821" s="186">
        <f>I822</f>
        <v>618.29999999999995</v>
      </c>
      <c r="J821" s="186">
        <f>J822</f>
        <v>561.1</v>
      </c>
      <c r="K821" s="186">
        <f>K822</f>
        <v>2850.3</v>
      </c>
      <c r="L821" s="187">
        <f>L822</f>
        <v>30</v>
      </c>
      <c r="M821" s="185" t="s">
        <v>915</v>
      </c>
      <c r="N821" s="185" t="s">
        <v>915</v>
      </c>
      <c r="O821" s="188" t="s">
        <v>915</v>
      </c>
      <c r="P821" s="186">
        <v>3080948</v>
      </c>
      <c r="Q821" s="186">
        <f>Q822</f>
        <v>0</v>
      </c>
      <c r="R821" s="186">
        <f>R822</f>
        <v>0</v>
      </c>
      <c r="S821" s="186">
        <f>S822</f>
        <v>3080948</v>
      </c>
      <c r="T821" s="189">
        <f t="shared" si="122"/>
        <v>4982.9338508814499</v>
      </c>
      <c r="U821" s="189">
        <f>T821</f>
        <v>4982.9338508814499</v>
      </c>
      <c r="V821" s="170">
        <f t="shared" si="125"/>
        <v>0</v>
      </c>
      <c r="W821" s="170"/>
      <c r="X821" s="170"/>
      <c r="Y821" s="173" t="e">
        <f t="shared" si="126"/>
        <v>#N/A</v>
      </c>
      <c r="AA821" s="173" t="e">
        <f t="shared" si="127"/>
        <v>#N/A</v>
      </c>
      <c r="AH821" s="173" t="e">
        <f t="shared" si="128"/>
        <v>#N/A</v>
      </c>
      <c r="AS821" s="173" t="e">
        <f t="shared" si="129"/>
        <v>#N/A</v>
      </c>
    </row>
    <row r="822" spans="1:194" s="173" customFormat="1" ht="36" customHeight="1" x14ac:dyDescent="0.9">
      <c r="A822" s="173">
        <v>1</v>
      </c>
      <c r="B822" s="91">
        <f>SUBTOTAL(103,$A$546:A822)</f>
        <v>266</v>
      </c>
      <c r="C822" s="90" t="s">
        <v>695</v>
      </c>
      <c r="D822" s="185">
        <v>1984</v>
      </c>
      <c r="E822" s="185"/>
      <c r="F822" s="191" t="s">
        <v>326</v>
      </c>
      <c r="G822" s="185">
        <v>2</v>
      </c>
      <c r="H822" s="185">
        <v>2</v>
      </c>
      <c r="I822" s="186">
        <v>618.29999999999995</v>
      </c>
      <c r="J822" s="186">
        <v>561.1</v>
      </c>
      <c r="K822" s="186">
        <v>2850.3</v>
      </c>
      <c r="L822" s="187">
        <v>30</v>
      </c>
      <c r="M822" s="185" t="s">
        <v>271</v>
      </c>
      <c r="N822" s="185" t="s">
        <v>272</v>
      </c>
      <c r="O822" s="188" t="s">
        <v>274</v>
      </c>
      <c r="P822" s="189">
        <v>3080948</v>
      </c>
      <c r="Q822" s="189">
        <v>0</v>
      </c>
      <c r="R822" s="189">
        <v>0</v>
      </c>
      <c r="S822" s="189">
        <f>P822-Q822-R822</f>
        <v>3080948</v>
      </c>
      <c r="T822" s="189">
        <f t="shared" si="122"/>
        <v>4982.9338508814499</v>
      </c>
      <c r="U822" s="189">
        <f>T822</f>
        <v>4982.9338508814499</v>
      </c>
      <c r="V822" s="170">
        <f t="shared" si="125"/>
        <v>0</v>
      </c>
      <c r="W822" s="170"/>
      <c r="X822" s="170"/>
      <c r="Y822" s="173">
        <f t="shared" si="126"/>
        <v>4391.6157205240179</v>
      </c>
      <c r="AA822" s="173">
        <f t="shared" si="127"/>
        <v>520</v>
      </c>
      <c r="AH822" s="173" t="e">
        <f t="shared" si="128"/>
        <v>#N/A</v>
      </c>
      <c r="AS822" s="173" t="e">
        <f t="shared" si="129"/>
        <v>#N/A</v>
      </c>
    </row>
    <row r="823" spans="1:194" s="173" customFormat="1" ht="36" customHeight="1" x14ac:dyDescent="0.9">
      <c r="B823" s="90" t="s">
        <v>847</v>
      </c>
      <c r="C823" s="90"/>
      <c r="D823" s="185" t="s">
        <v>915</v>
      </c>
      <c r="E823" s="185" t="s">
        <v>915</v>
      </c>
      <c r="F823" s="185" t="s">
        <v>915</v>
      </c>
      <c r="G823" s="185" t="s">
        <v>915</v>
      </c>
      <c r="H823" s="185" t="s">
        <v>915</v>
      </c>
      <c r="I823" s="186">
        <f>I824</f>
        <v>3085.8</v>
      </c>
      <c r="J823" s="186">
        <f>J824</f>
        <v>2104.5</v>
      </c>
      <c r="K823" s="186">
        <f>K824</f>
        <v>1863.3</v>
      </c>
      <c r="L823" s="187">
        <f>L824</f>
        <v>144</v>
      </c>
      <c r="M823" s="185" t="s">
        <v>915</v>
      </c>
      <c r="N823" s="185" t="s">
        <v>915</v>
      </c>
      <c r="O823" s="188" t="s">
        <v>915</v>
      </c>
      <c r="P823" s="186">
        <v>2000000</v>
      </c>
      <c r="Q823" s="186">
        <f>Q824</f>
        <v>0</v>
      </c>
      <c r="R823" s="186">
        <f>R824</f>
        <v>0</v>
      </c>
      <c r="S823" s="186">
        <f>S824</f>
        <v>2000000</v>
      </c>
      <c r="T823" s="189">
        <f t="shared" si="122"/>
        <v>648.13014453302219</v>
      </c>
      <c r="U823" s="189">
        <f>U824</f>
        <v>1184.779004472098</v>
      </c>
      <c r="V823" s="170">
        <f t="shared" si="125"/>
        <v>536.64885993907581</v>
      </c>
      <c r="W823" s="170"/>
      <c r="X823" s="170"/>
      <c r="Y823" s="173" t="e">
        <f t="shared" si="126"/>
        <v>#N/A</v>
      </c>
      <c r="AA823" s="173" t="e">
        <f t="shared" si="127"/>
        <v>#N/A</v>
      </c>
      <c r="AH823" s="173" t="e">
        <f t="shared" si="128"/>
        <v>#N/A</v>
      </c>
      <c r="AS823" s="173" t="e">
        <f t="shared" si="129"/>
        <v>#N/A</v>
      </c>
    </row>
    <row r="824" spans="1:194" s="142" customFormat="1" ht="36" customHeight="1" x14ac:dyDescent="0.9">
      <c r="A824" s="173">
        <v>1</v>
      </c>
      <c r="B824" s="91">
        <f>SUBTOTAL(103,$A$546:A824)</f>
        <v>267</v>
      </c>
      <c r="C824" s="201" t="s">
        <v>702</v>
      </c>
      <c r="D824" s="185">
        <v>1979</v>
      </c>
      <c r="E824" s="185"/>
      <c r="F824" s="203" t="s">
        <v>747</v>
      </c>
      <c r="G824" s="185">
        <v>5</v>
      </c>
      <c r="H824" s="185">
        <v>4</v>
      </c>
      <c r="I824" s="186">
        <v>3085.8</v>
      </c>
      <c r="J824" s="186">
        <v>2104.5</v>
      </c>
      <c r="K824" s="186">
        <v>1863.3</v>
      </c>
      <c r="L824" s="202">
        <v>144</v>
      </c>
      <c r="M824" s="185" t="s">
        <v>271</v>
      </c>
      <c r="N824" s="185" t="s">
        <v>275</v>
      </c>
      <c r="O824" s="185" t="s">
        <v>744</v>
      </c>
      <c r="P824" s="186">
        <v>2000000</v>
      </c>
      <c r="Q824" s="186">
        <v>0</v>
      </c>
      <c r="R824" s="186">
        <v>0</v>
      </c>
      <c r="S824" s="186">
        <f>P824-Q824-R824</f>
        <v>2000000</v>
      </c>
      <c r="T824" s="189">
        <f t="shared" si="122"/>
        <v>648.13014453302219</v>
      </c>
      <c r="U824" s="189">
        <f>Y824</f>
        <v>1184.779004472098</v>
      </c>
      <c r="V824" s="170">
        <f t="shared" si="125"/>
        <v>536.64885993907581</v>
      </c>
      <c r="W824" s="170"/>
      <c r="X824" s="170"/>
      <c r="Y824" s="173">
        <f t="shared" si="126"/>
        <v>1184.779004472098</v>
      </c>
      <c r="AA824" s="173">
        <f t="shared" si="127"/>
        <v>700.14</v>
      </c>
      <c r="AH824" s="173" t="e">
        <f t="shared" si="128"/>
        <v>#N/A</v>
      </c>
      <c r="AS824" s="173" t="e">
        <f t="shared" si="129"/>
        <v>#N/A</v>
      </c>
      <c r="DT824" s="144"/>
      <c r="DU824" s="144"/>
      <c r="DV824" s="144"/>
      <c r="EJ824" s="145"/>
      <c r="ES824" s="146"/>
      <c r="FV824" s="147"/>
      <c r="GL824" s="148"/>
    </row>
    <row r="825" spans="1:194" s="173" customFormat="1" ht="36" customHeight="1" x14ac:dyDescent="0.9">
      <c r="B825" s="90" t="s">
        <v>848</v>
      </c>
      <c r="C825" s="90"/>
      <c r="D825" s="185" t="s">
        <v>915</v>
      </c>
      <c r="E825" s="185" t="s">
        <v>915</v>
      </c>
      <c r="F825" s="185" t="s">
        <v>915</v>
      </c>
      <c r="G825" s="185" t="s">
        <v>915</v>
      </c>
      <c r="H825" s="185" t="s">
        <v>915</v>
      </c>
      <c r="I825" s="186">
        <f>SUM(I826:I831)</f>
        <v>16441</v>
      </c>
      <c r="J825" s="186">
        <f>SUM(J826:J831)</f>
        <v>12174.9</v>
      </c>
      <c r="K825" s="186">
        <f>SUM(K826:K831)</f>
        <v>11434.4</v>
      </c>
      <c r="L825" s="187">
        <f>SUM(L826:L831)</f>
        <v>486</v>
      </c>
      <c r="M825" s="185" t="s">
        <v>915</v>
      </c>
      <c r="N825" s="185" t="s">
        <v>915</v>
      </c>
      <c r="O825" s="188" t="s">
        <v>915</v>
      </c>
      <c r="P825" s="186">
        <v>23342012.82</v>
      </c>
      <c r="Q825" s="186">
        <f>SUM(Q826:Q831)</f>
        <v>0</v>
      </c>
      <c r="R825" s="186">
        <f>SUM(R826:R831)</f>
        <v>0</v>
      </c>
      <c r="S825" s="186">
        <f>SUM(S826:S831)</f>
        <v>23342012.82</v>
      </c>
      <c r="T825" s="189">
        <f t="shared" si="122"/>
        <v>1419.7441043732133</v>
      </c>
      <c r="U825" s="189">
        <f>MAX(U826:U831)</f>
        <v>6809.8928736095368</v>
      </c>
      <c r="V825" s="170">
        <f t="shared" si="125"/>
        <v>5390.1487692363235</v>
      </c>
      <c r="W825" s="170"/>
      <c r="X825" s="170"/>
      <c r="Y825" s="173" t="e">
        <f t="shared" si="126"/>
        <v>#N/A</v>
      </c>
      <c r="AA825" s="173" t="e">
        <f t="shared" si="127"/>
        <v>#N/A</v>
      </c>
      <c r="AH825" s="173" t="e">
        <f t="shared" si="128"/>
        <v>#N/A</v>
      </c>
      <c r="AS825" s="173" t="e">
        <f t="shared" si="129"/>
        <v>#N/A</v>
      </c>
    </row>
    <row r="826" spans="1:194" s="173" customFormat="1" ht="36" customHeight="1" x14ac:dyDescent="0.9">
      <c r="A826" s="173">
        <v>1</v>
      </c>
      <c r="B826" s="91">
        <f>SUBTOTAL(103,$A$546:A826)</f>
        <v>268</v>
      </c>
      <c r="C826" s="90" t="s">
        <v>692</v>
      </c>
      <c r="D826" s="185">
        <v>1993</v>
      </c>
      <c r="E826" s="185"/>
      <c r="F826" s="191" t="s">
        <v>319</v>
      </c>
      <c r="G826" s="185">
        <v>5</v>
      </c>
      <c r="H826" s="185">
        <v>5</v>
      </c>
      <c r="I826" s="186">
        <v>3247</v>
      </c>
      <c r="J826" s="186">
        <v>3245</v>
      </c>
      <c r="K826" s="186">
        <v>3245</v>
      </c>
      <c r="L826" s="187">
        <v>121</v>
      </c>
      <c r="M826" s="185" t="s">
        <v>271</v>
      </c>
      <c r="N826" s="185" t="s">
        <v>349</v>
      </c>
      <c r="O826" s="188" t="s">
        <v>745</v>
      </c>
      <c r="P826" s="189">
        <v>2541661.4500000002</v>
      </c>
      <c r="Q826" s="189">
        <v>0</v>
      </c>
      <c r="R826" s="189">
        <v>0</v>
      </c>
      <c r="S826" s="189">
        <f t="shared" ref="S826:S831" si="131">P826-Q826-R826</f>
        <v>2541661.4500000002</v>
      </c>
      <c r="T826" s="189">
        <f t="shared" si="122"/>
        <v>782.77223591007089</v>
      </c>
      <c r="U826" s="189">
        <f>Y826+AG826</f>
        <v>6809.8928736095368</v>
      </c>
      <c r="V826" s="170">
        <f t="shared" si="125"/>
        <v>6027.120637699466</v>
      </c>
      <c r="W826" s="170"/>
      <c r="X826" s="170"/>
      <c r="Y826" s="173">
        <f t="shared" si="126"/>
        <v>1527.7825685247922</v>
      </c>
      <c r="AA826" s="173">
        <f t="shared" si="127"/>
        <v>950</v>
      </c>
      <c r="AG826" s="173">
        <f>AH826*6191.24/J826</f>
        <v>5282.1103050847451</v>
      </c>
      <c r="AH826" s="173">
        <f t="shared" si="128"/>
        <v>2768.5</v>
      </c>
      <c r="AS826" s="173" t="e">
        <f t="shared" si="129"/>
        <v>#N/A</v>
      </c>
    </row>
    <row r="827" spans="1:194" s="173" customFormat="1" ht="36" customHeight="1" x14ac:dyDescent="0.9">
      <c r="A827" s="173">
        <v>1</v>
      </c>
      <c r="B827" s="91">
        <f>SUBTOTAL(103,$A$546:A827)</f>
        <v>269</v>
      </c>
      <c r="C827" s="90" t="s">
        <v>680</v>
      </c>
      <c r="D827" s="185">
        <v>1972</v>
      </c>
      <c r="E827" s="185"/>
      <c r="F827" s="191" t="s">
        <v>273</v>
      </c>
      <c r="G827" s="185">
        <v>5</v>
      </c>
      <c r="H827" s="185">
        <v>4</v>
      </c>
      <c r="I827" s="186">
        <v>5949.7</v>
      </c>
      <c r="J827" s="186">
        <v>3026.6</v>
      </c>
      <c r="K827" s="186">
        <v>2850.3</v>
      </c>
      <c r="L827" s="187">
        <v>117</v>
      </c>
      <c r="M827" s="185" t="s">
        <v>271</v>
      </c>
      <c r="N827" s="185" t="s">
        <v>275</v>
      </c>
      <c r="O827" s="188" t="s">
        <v>1112</v>
      </c>
      <c r="P827" s="189">
        <v>5370787.6200000001</v>
      </c>
      <c r="Q827" s="189">
        <v>0</v>
      </c>
      <c r="R827" s="189">
        <v>0</v>
      </c>
      <c r="S827" s="189">
        <f t="shared" si="131"/>
        <v>5370787.6200000001</v>
      </c>
      <c r="T827" s="189">
        <f t="shared" si="122"/>
        <v>902.69889574264255</v>
      </c>
      <c r="U827" s="189">
        <f>Y827</f>
        <v>971.56707060860219</v>
      </c>
      <c r="V827" s="170">
        <f t="shared" si="125"/>
        <v>68.868174865959645</v>
      </c>
      <c r="W827" s="170"/>
      <c r="X827" s="170"/>
      <c r="Y827" s="173">
        <f t="shared" si="126"/>
        <v>971.56707060860219</v>
      </c>
      <c r="AA827" s="173">
        <f t="shared" si="127"/>
        <v>1107</v>
      </c>
      <c r="AH827" s="173" t="e">
        <f t="shared" si="128"/>
        <v>#N/A</v>
      </c>
      <c r="AS827" s="173" t="e">
        <f t="shared" si="129"/>
        <v>#N/A</v>
      </c>
    </row>
    <row r="828" spans="1:194" s="173" customFormat="1" ht="36" customHeight="1" x14ac:dyDescent="0.9">
      <c r="A828" s="173">
        <v>1</v>
      </c>
      <c r="B828" s="91">
        <f>SUBTOTAL(103,$A$546:A828)</f>
        <v>270</v>
      </c>
      <c r="C828" s="90" t="s">
        <v>708</v>
      </c>
      <c r="D828" s="185">
        <v>1981</v>
      </c>
      <c r="E828" s="185"/>
      <c r="F828" s="191" t="s">
        <v>273</v>
      </c>
      <c r="G828" s="185">
        <v>2</v>
      </c>
      <c r="H828" s="185">
        <v>3</v>
      </c>
      <c r="I828" s="186">
        <v>843.1</v>
      </c>
      <c r="J828" s="186">
        <v>820.9</v>
      </c>
      <c r="K828" s="186">
        <v>820.9</v>
      </c>
      <c r="L828" s="187">
        <v>34</v>
      </c>
      <c r="M828" s="185" t="s">
        <v>271</v>
      </c>
      <c r="N828" s="185" t="s">
        <v>272</v>
      </c>
      <c r="O828" s="188" t="s">
        <v>274</v>
      </c>
      <c r="P828" s="189">
        <v>4073004</v>
      </c>
      <c r="Q828" s="189">
        <v>0</v>
      </c>
      <c r="R828" s="189">
        <v>0</v>
      </c>
      <c r="S828" s="189">
        <f t="shared" si="131"/>
        <v>4073004</v>
      </c>
      <c r="T828" s="189">
        <f t="shared" si="122"/>
        <v>4830.98564820306</v>
      </c>
      <c r="U828" s="189">
        <f>Y828</f>
        <v>4830.98564820306</v>
      </c>
      <c r="V828" s="170">
        <f t="shared" si="125"/>
        <v>0</v>
      </c>
      <c r="W828" s="170"/>
      <c r="X828" s="170"/>
      <c r="Y828" s="173">
        <f t="shared" si="126"/>
        <v>4830.98564820306</v>
      </c>
      <c r="AA828" s="173">
        <f t="shared" si="127"/>
        <v>780</v>
      </c>
      <c r="AH828" s="173" t="e">
        <f t="shared" si="128"/>
        <v>#N/A</v>
      </c>
      <c r="AS828" s="173" t="e">
        <f t="shared" si="129"/>
        <v>#N/A</v>
      </c>
    </row>
    <row r="829" spans="1:194" s="173" customFormat="1" ht="36" customHeight="1" x14ac:dyDescent="0.9">
      <c r="A829" s="173">
        <v>1</v>
      </c>
      <c r="B829" s="91">
        <f>SUBTOTAL(103,$A$546:A829)</f>
        <v>271</v>
      </c>
      <c r="C829" s="90" t="s">
        <v>685</v>
      </c>
      <c r="D829" s="185">
        <v>1940</v>
      </c>
      <c r="E829" s="185"/>
      <c r="F829" s="191" t="s">
        <v>273</v>
      </c>
      <c r="G829" s="185">
        <v>3</v>
      </c>
      <c r="H829" s="185">
        <v>3</v>
      </c>
      <c r="I829" s="186">
        <v>2521.1999999999998</v>
      </c>
      <c r="J829" s="186">
        <v>2421.1999999999998</v>
      </c>
      <c r="K829" s="186">
        <v>1980.9</v>
      </c>
      <c r="L829" s="187">
        <v>67</v>
      </c>
      <c r="M829" s="185" t="s">
        <v>271</v>
      </c>
      <c r="N829" s="185" t="s">
        <v>349</v>
      </c>
      <c r="O829" s="188" t="s">
        <v>746</v>
      </c>
      <c r="P829" s="189">
        <v>3707478</v>
      </c>
      <c r="Q829" s="189">
        <v>0</v>
      </c>
      <c r="R829" s="189">
        <v>0</v>
      </c>
      <c r="S829" s="189">
        <f t="shared" si="131"/>
        <v>3707478</v>
      </c>
      <c r="T829" s="189">
        <f t="shared" si="122"/>
        <v>1470.5211803902905</v>
      </c>
      <c r="U829" s="189">
        <f>Y829</f>
        <v>1470.5211803902905</v>
      </c>
      <c r="V829" s="170">
        <f t="shared" si="125"/>
        <v>0</v>
      </c>
      <c r="W829" s="170"/>
      <c r="X829" s="170"/>
      <c r="Y829" s="173">
        <f t="shared" si="126"/>
        <v>1470.5211803902905</v>
      </c>
      <c r="AA829" s="173">
        <f t="shared" si="127"/>
        <v>710</v>
      </c>
      <c r="AH829" s="173" t="e">
        <f t="shared" si="128"/>
        <v>#N/A</v>
      </c>
      <c r="AS829" s="173" t="e">
        <f t="shared" si="129"/>
        <v>#N/A</v>
      </c>
    </row>
    <row r="830" spans="1:194" s="173" customFormat="1" ht="36" customHeight="1" x14ac:dyDescent="0.9">
      <c r="A830" s="173">
        <v>1</v>
      </c>
      <c r="B830" s="91">
        <f>SUBTOTAL(103,$A$546:A830)</f>
        <v>272</v>
      </c>
      <c r="C830" s="90" t="s">
        <v>690</v>
      </c>
      <c r="D830" s="185">
        <v>1979</v>
      </c>
      <c r="E830" s="185"/>
      <c r="F830" s="191" t="s">
        <v>273</v>
      </c>
      <c r="G830" s="185">
        <v>2</v>
      </c>
      <c r="H830" s="185">
        <v>2</v>
      </c>
      <c r="I830" s="186">
        <v>1052.4000000000001</v>
      </c>
      <c r="J830" s="186">
        <v>930.4</v>
      </c>
      <c r="K830" s="186">
        <v>930.4</v>
      </c>
      <c r="L830" s="187">
        <v>24</v>
      </c>
      <c r="M830" s="185" t="s">
        <v>271</v>
      </c>
      <c r="N830" s="185" t="s">
        <v>303</v>
      </c>
      <c r="O830" s="188" t="s">
        <v>1109</v>
      </c>
      <c r="P830" s="189">
        <v>3916350</v>
      </c>
      <c r="Q830" s="189">
        <v>0</v>
      </c>
      <c r="R830" s="189">
        <v>0</v>
      </c>
      <c r="S830" s="189">
        <f t="shared" si="131"/>
        <v>3916350</v>
      </c>
      <c r="T830" s="189">
        <f t="shared" si="122"/>
        <v>3721.3511972633978</v>
      </c>
      <c r="U830" s="189">
        <f>Y830</f>
        <v>3721.3511972633978</v>
      </c>
      <c r="V830" s="170">
        <f t="shared" si="125"/>
        <v>0</v>
      </c>
      <c r="W830" s="170"/>
      <c r="X830" s="170"/>
      <c r="Y830" s="173">
        <f t="shared" si="126"/>
        <v>3721.3511972633978</v>
      </c>
      <c r="AA830" s="173">
        <f t="shared" si="127"/>
        <v>750</v>
      </c>
      <c r="AH830" s="173" t="e">
        <f t="shared" si="128"/>
        <v>#N/A</v>
      </c>
      <c r="AS830" s="173" t="e">
        <f t="shared" si="129"/>
        <v>#N/A</v>
      </c>
    </row>
    <row r="831" spans="1:194" s="173" customFormat="1" ht="36" customHeight="1" x14ac:dyDescent="0.9">
      <c r="A831" s="173">
        <v>1</v>
      </c>
      <c r="B831" s="91">
        <f>SUBTOTAL(103,$A$546:A831)</f>
        <v>273</v>
      </c>
      <c r="C831" s="90" t="s">
        <v>689</v>
      </c>
      <c r="D831" s="185">
        <v>1977</v>
      </c>
      <c r="E831" s="185"/>
      <c r="F831" s="191" t="s">
        <v>273</v>
      </c>
      <c r="G831" s="185">
        <v>5</v>
      </c>
      <c r="H831" s="185">
        <v>4</v>
      </c>
      <c r="I831" s="186">
        <v>2827.6</v>
      </c>
      <c r="J831" s="186">
        <v>1730.8</v>
      </c>
      <c r="K831" s="186">
        <v>1606.9</v>
      </c>
      <c r="L831" s="187">
        <v>123</v>
      </c>
      <c r="M831" s="185" t="s">
        <v>271</v>
      </c>
      <c r="N831" s="185" t="s">
        <v>275</v>
      </c>
      <c r="O831" s="188" t="s">
        <v>742</v>
      </c>
      <c r="P831" s="189">
        <v>3732731.75</v>
      </c>
      <c r="Q831" s="189">
        <v>0</v>
      </c>
      <c r="R831" s="189">
        <v>0</v>
      </c>
      <c r="S831" s="189">
        <f t="shared" si="131"/>
        <v>3732731.75</v>
      </c>
      <c r="T831" s="189">
        <f t="shared" si="122"/>
        <v>1320.1060086292262</v>
      </c>
      <c r="U831" s="189">
        <f>T831</f>
        <v>1320.1060086292262</v>
      </c>
      <c r="V831" s="170">
        <f t="shared" si="125"/>
        <v>0</v>
      </c>
      <c r="W831" s="170"/>
      <c r="X831" s="170"/>
      <c r="Y831" s="173">
        <f t="shared" si="126"/>
        <v>1302.8645848069034</v>
      </c>
      <c r="AA831" s="173">
        <f t="shared" si="127"/>
        <v>705.5</v>
      </c>
      <c r="AH831" s="173" t="e">
        <f t="shared" si="128"/>
        <v>#N/A</v>
      </c>
      <c r="AS831" s="173" t="e">
        <f t="shared" si="129"/>
        <v>#N/A</v>
      </c>
    </row>
    <row r="832" spans="1:194" s="173" customFormat="1" ht="36" customHeight="1" x14ac:dyDescent="0.9">
      <c r="B832" s="90" t="s">
        <v>849</v>
      </c>
      <c r="C832" s="192"/>
      <c r="D832" s="185" t="s">
        <v>915</v>
      </c>
      <c r="E832" s="185" t="s">
        <v>915</v>
      </c>
      <c r="F832" s="185" t="s">
        <v>915</v>
      </c>
      <c r="G832" s="185" t="s">
        <v>915</v>
      </c>
      <c r="H832" s="185" t="s">
        <v>915</v>
      </c>
      <c r="I832" s="186">
        <f>SUM(I833:I837)</f>
        <v>6796.31</v>
      </c>
      <c r="J832" s="186">
        <f>SUM(J833:J837)</f>
        <v>6560.6100000000006</v>
      </c>
      <c r="K832" s="186">
        <f>SUM(K833:K837)</f>
        <v>6452.51</v>
      </c>
      <c r="L832" s="187">
        <f>SUM(L833:L837)</f>
        <v>274</v>
      </c>
      <c r="M832" s="185" t="s">
        <v>915</v>
      </c>
      <c r="N832" s="185" t="s">
        <v>915</v>
      </c>
      <c r="O832" s="188" t="s">
        <v>915</v>
      </c>
      <c r="P832" s="186">
        <v>17079093.490000002</v>
      </c>
      <c r="Q832" s="186">
        <f>SUM(Q833:Q837)</f>
        <v>0</v>
      </c>
      <c r="R832" s="186">
        <f>SUM(R833:R837)</f>
        <v>0</v>
      </c>
      <c r="S832" s="186">
        <f>SUM(S833:S837)</f>
        <v>17079093.490000002</v>
      </c>
      <c r="T832" s="189">
        <f t="shared" si="122"/>
        <v>2512.9950649690791</v>
      </c>
      <c r="U832" s="189">
        <f>MAX(U833:U834)</f>
        <v>4517.4808935361225</v>
      </c>
      <c r="V832" s="170">
        <f t="shared" si="125"/>
        <v>2004.4858285670434</v>
      </c>
      <c r="W832" s="170"/>
      <c r="X832" s="170"/>
      <c r="Y832" s="173" t="e">
        <f t="shared" si="126"/>
        <v>#N/A</v>
      </c>
      <c r="AA832" s="173" t="e">
        <f t="shared" si="127"/>
        <v>#N/A</v>
      </c>
      <c r="AH832" s="173" t="e">
        <f t="shared" si="128"/>
        <v>#N/A</v>
      </c>
      <c r="AS832" s="173" t="e">
        <f t="shared" si="129"/>
        <v>#N/A</v>
      </c>
    </row>
    <row r="833" spans="1:45" s="173" customFormat="1" ht="36" customHeight="1" x14ac:dyDescent="0.9">
      <c r="A833" s="173">
        <v>1</v>
      </c>
      <c r="B833" s="91">
        <f>SUBTOTAL(103,$A$546:A833)</f>
        <v>274</v>
      </c>
      <c r="C833" s="90" t="s">
        <v>240</v>
      </c>
      <c r="D833" s="185">
        <v>1973</v>
      </c>
      <c r="E833" s="185"/>
      <c r="F833" s="191" t="s">
        <v>273</v>
      </c>
      <c r="G833" s="185">
        <v>5</v>
      </c>
      <c r="H833" s="185">
        <v>6</v>
      </c>
      <c r="I833" s="186">
        <v>4403.51</v>
      </c>
      <c r="J833" s="186">
        <v>4403.51</v>
      </c>
      <c r="K833" s="186">
        <v>4403.51</v>
      </c>
      <c r="L833" s="187">
        <v>179</v>
      </c>
      <c r="M833" s="185" t="s">
        <v>271</v>
      </c>
      <c r="N833" s="185" t="s">
        <v>275</v>
      </c>
      <c r="O833" s="188" t="s">
        <v>342</v>
      </c>
      <c r="P833" s="189">
        <v>7695900</v>
      </c>
      <c r="Q833" s="189">
        <v>0</v>
      </c>
      <c r="R833" s="189">
        <v>0</v>
      </c>
      <c r="S833" s="189">
        <f>P833-Q833-R833</f>
        <v>7695900</v>
      </c>
      <c r="T833" s="189">
        <f t="shared" si="122"/>
        <v>1747.6740145929043</v>
      </c>
      <c r="U833" s="189">
        <f>Y833</f>
        <v>1789.4125822355347</v>
      </c>
      <c r="V833" s="170">
        <f t="shared" si="125"/>
        <v>41.738567642630414</v>
      </c>
      <c r="W833" s="170"/>
      <c r="X833" s="170"/>
      <c r="Y833" s="173">
        <f t="shared" si="126"/>
        <v>1789.4125822355347</v>
      </c>
      <c r="AA833" s="173">
        <f t="shared" si="127"/>
        <v>1509</v>
      </c>
      <c r="AH833" s="173" t="e">
        <f t="shared" si="128"/>
        <v>#N/A</v>
      </c>
      <c r="AS833" s="173" t="e">
        <f t="shared" si="129"/>
        <v>#N/A</v>
      </c>
    </row>
    <row r="834" spans="1:45" s="173" customFormat="1" ht="36" customHeight="1" x14ac:dyDescent="0.9">
      <c r="A834" s="173">
        <v>1</v>
      </c>
      <c r="B834" s="91">
        <f>SUBTOTAL(103,$A$546:A834)</f>
        <v>275</v>
      </c>
      <c r="C834" s="90" t="s">
        <v>245</v>
      </c>
      <c r="D834" s="185">
        <v>1989</v>
      </c>
      <c r="E834" s="185"/>
      <c r="F834" s="191" t="s">
        <v>273</v>
      </c>
      <c r="G834" s="185">
        <v>2</v>
      </c>
      <c r="H834" s="185">
        <v>3</v>
      </c>
      <c r="I834" s="186">
        <v>946.8</v>
      </c>
      <c r="J834" s="186">
        <v>859.3</v>
      </c>
      <c r="K834" s="186">
        <v>816</v>
      </c>
      <c r="L834" s="187">
        <v>34</v>
      </c>
      <c r="M834" s="185" t="s">
        <v>271</v>
      </c>
      <c r="N834" s="185" t="s">
        <v>275</v>
      </c>
      <c r="O834" s="188" t="s">
        <v>341</v>
      </c>
      <c r="P834" s="189">
        <v>4277150.91</v>
      </c>
      <c r="Q834" s="189">
        <v>0</v>
      </c>
      <c r="R834" s="189">
        <v>0</v>
      </c>
      <c r="S834" s="189">
        <f>P834-Q834-R834</f>
        <v>4277150.91</v>
      </c>
      <c r="T834" s="189">
        <f t="shared" si="122"/>
        <v>4517.4808935361225</v>
      </c>
      <c r="U834" s="189">
        <v>4517.4808935361225</v>
      </c>
      <c r="V834" s="170">
        <f t="shared" si="125"/>
        <v>0</v>
      </c>
      <c r="W834" s="170"/>
      <c r="X834" s="170"/>
      <c r="Y834" s="173" t="e">
        <f t="shared" si="126"/>
        <v>#N/A</v>
      </c>
      <c r="AA834" s="173" t="e">
        <f t="shared" si="127"/>
        <v>#N/A</v>
      </c>
      <c r="AH834" s="173" t="e">
        <f t="shared" si="128"/>
        <v>#N/A</v>
      </c>
      <c r="AS834" s="173" t="e">
        <f t="shared" si="129"/>
        <v>#N/A</v>
      </c>
    </row>
    <row r="835" spans="1:45" s="173" customFormat="1" ht="36" customHeight="1" x14ac:dyDescent="0.9">
      <c r="A835" s="173">
        <v>1</v>
      </c>
      <c r="B835" s="91">
        <f>SUBTOTAL(103,$A$546:A835)</f>
        <v>276</v>
      </c>
      <c r="C835" s="90" t="s">
        <v>1654</v>
      </c>
      <c r="D835" s="185">
        <v>1986</v>
      </c>
      <c r="E835" s="185"/>
      <c r="F835" s="191" t="s">
        <v>338</v>
      </c>
      <c r="G835" s="185">
        <v>2</v>
      </c>
      <c r="H835" s="185">
        <v>1</v>
      </c>
      <c r="I835" s="186">
        <v>324</v>
      </c>
      <c r="J835" s="186">
        <v>250.5</v>
      </c>
      <c r="K835" s="186">
        <f>J835</f>
        <v>250.5</v>
      </c>
      <c r="L835" s="187">
        <v>15</v>
      </c>
      <c r="M835" s="185" t="s">
        <v>271</v>
      </c>
      <c r="N835" s="185" t="s">
        <v>275</v>
      </c>
      <c r="O835" s="188" t="s">
        <v>341</v>
      </c>
      <c r="P835" s="189">
        <v>1462104</v>
      </c>
      <c r="Q835" s="189">
        <v>0</v>
      </c>
      <c r="R835" s="189">
        <v>0</v>
      </c>
      <c r="S835" s="189">
        <f>P835-Q835-R835</f>
        <v>1462104</v>
      </c>
      <c r="T835" s="189">
        <f t="shared" si="122"/>
        <v>4512.666666666667</v>
      </c>
      <c r="U835" s="189">
        <f>Y835</f>
        <v>4512.666666666667</v>
      </c>
      <c r="V835" s="170">
        <f t="shared" si="125"/>
        <v>0</v>
      </c>
      <c r="W835" s="170"/>
      <c r="X835" s="170"/>
      <c r="Y835" s="173">
        <f t="shared" si="126"/>
        <v>4512.666666666667</v>
      </c>
      <c r="AA835" s="173">
        <f t="shared" si="127"/>
        <v>280</v>
      </c>
      <c r="AH835" s="173" t="e">
        <f t="shared" si="128"/>
        <v>#N/A</v>
      </c>
      <c r="AS835" s="173" t="e">
        <f t="shared" si="129"/>
        <v>#N/A</v>
      </c>
    </row>
    <row r="836" spans="1:45" s="173" customFormat="1" ht="36" customHeight="1" x14ac:dyDescent="0.9">
      <c r="A836" s="173">
        <v>1</v>
      </c>
      <c r="B836" s="91">
        <f>SUBTOTAL(103,$A$546:A836)</f>
        <v>277</v>
      </c>
      <c r="C836" s="90" t="s">
        <v>1655</v>
      </c>
      <c r="D836" s="185">
        <v>1985</v>
      </c>
      <c r="E836" s="185"/>
      <c r="F836" s="191" t="s">
        <v>1371</v>
      </c>
      <c r="G836" s="185">
        <v>2</v>
      </c>
      <c r="H836" s="185">
        <v>1</v>
      </c>
      <c r="I836" s="186">
        <v>316.3</v>
      </c>
      <c r="J836" s="186">
        <v>316.3</v>
      </c>
      <c r="K836" s="186">
        <f>J836-39</f>
        <v>277.3</v>
      </c>
      <c r="L836" s="187">
        <v>9</v>
      </c>
      <c r="M836" s="185" t="s">
        <v>271</v>
      </c>
      <c r="N836" s="185" t="s">
        <v>275</v>
      </c>
      <c r="O836" s="188" t="s">
        <v>342</v>
      </c>
      <c r="P836" s="189">
        <v>1221174.67</v>
      </c>
      <c r="Q836" s="189">
        <v>0</v>
      </c>
      <c r="R836" s="189">
        <v>0</v>
      </c>
      <c r="S836" s="189">
        <f>P836-Q836-R836</f>
        <v>1221174.67</v>
      </c>
      <c r="T836" s="189">
        <f t="shared" si="122"/>
        <v>3860.8114764464112</v>
      </c>
      <c r="U836" s="189">
        <v>10692.45</v>
      </c>
      <c r="V836" s="170">
        <f t="shared" si="125"/>
        <v>6831.638523553589</v>
      </c>
      <c r="W836" s="170"/>
      <c r="X836" s="170"/>
      <c r="Y836" s="173" t="e">
        <f t="shared" si="126"/>
        <v>#N/A</v>
      </c>
      <c r="AA836" s="173" t="e">
        <f t="shared" si="127"/>
        <v>#N/A</v>
      </c>
      <c r="AH836" s="173" t="e">
        <f t="shared" si="128"/>
        <v>#N/A</v>
      </c>
      <c r="AS836" s="173" t="e">
        <f t="shared" si="129"/>
        <v>#N/A</v>
      </c>
    </row>
    <row r="837" spans="1:45" s="173" customFormat="1" ht="36" customHeight="1" x14ac:dyDescent="0.9">
      <c r="A837" s="173">
        <v>1</v>
      </c>
      <c r="B837" s="91">
        <f>SUBTOTAL(103,$A$546:A837)</f>
        <v>278</v>
      </c>
      <c r="C837" s="90" t="s">
        <v>1242</v>
      </c>
      <c r="D837" s="185">
        <v>1955</v>
      </c>
      <c r="E837" s="185"/>
      <c r="F837" s="191" t="s">
        <v>1340</v>
      </c>
      <c r="G837" s="185">
        <v>2</v>
      </c>
      <c r="H837" s="185">
        <v>2</v>
      </c>
      <c r="I837" s="189">
        <v>805.7</v>
      </c>
      <c r="J837" s="189">
        <v>731</v>
      </c>
      <c r="K837" s="189">
        <v>705.2</v>
      </c>
      <c r="L837" s="187">
        <v>37</v>
      </c>
      <c r="M837" s="185" t="s">
        <v>271</v>
      </c>
      <c r="N837" s="185" t="s">
        <v>275</v>
      </c>
      <c r="O837" s="188" t="s">
        <v>341</v>
      </c>
      <c r="P837" s="189">
        <v>2422763.91</v>
      </c>
      <c r="Q837" s="189">
        <v>0</v>
      </c>
      <c r="R837" s="189">
        <v>0</v>
      </c>
      <c r="S837" s="189">
        <f t="shared" ref="S837" si="132">P837-Q837-R837</f>
        <v>2422763.91</v>
      </c>
      <c r="T837" s="189">
        <f t="shared" si="122"/>
        <v>3007.0298001737619</v>
      </c>
      <c r="U837" s="189">
        <f>AG837</f>
        <v>6759.2926221614225</v>
      </c>
      <c r="V837" s="170">
        <f t="shared" si="125"/>
        <v>3752.2628219876606</v>
      </c>
      <c r="W837" s="170"/>
      <c r="X837" s="170"/>
      <c r="Y837" s="173" t="e">
        <f t="shared" si="126"/>
        <v>#N/A</v>
      </c>
      <c r="AA837" s="173" t="e">
        <f t="shared" si="127"/>
        <v>#N/A</v>
      </c>
      <c r="AC837" s="173" t="s">
        <v>578</v>
      </c>
      <c r="AD837" s="173">
        <v>1688</v>
      </c>
      <c r="AG837" s="173">
        <f>AH837*6191.24/J837</f>
        <v>6759.2926221614225</v>
      </c>
      <c r="AH837" s="173">
        <f t="shared" si="128"/>
        <v>798.07</v>
      </c>
      <c r="AS837" s="173" t="e">
        <f t="shared" si="129"/>
        <v>#N/A</v>
      </c>
    </row>
    <row r="838" spans="1:45" s="173" customFormat="1" ht="36" customHeight="1" x14ac:dyDescent="0.9">
      <c r="B838" s="90" t="s">
        <v>1308</v>
      </c>
      <c r="C838" s="90"/>
      <c r="D838" s="185" t="s">
        <v>915</v>
      </c>
      <c r="E838" s="185" t="s">
        <v>915</v>
      </c>
      <c r="F838" s="185" t="s">
        <v>915</v>
      </c>
      <c r="G838" s="185" t="s">
        <v>915</v>
      </c>
      <c r="H838" s="185" t="s">
        <v>915</v>
      </c>
      <c r="I838" s="186">
        <f>I839</f>
        <v>1322.4</v>
      </c>
      <c r="J838" s="186">
        <f>J839</f>
        <v>1191.4000000000001</v>
      </c>
      <c r="K838" s="186">
        <f>K839</f>
        <v>1136.8000000000002</v>
      </c>
      <c r="L838" s="187">
        <f>L839</f>
        <v>36</v>
      </c>
      <c r="M838" s="185" t="s">
        <v>915</v>
      </c>
      <c r="N838" s="185" t="s">
        <v>915</v>
      </c>
      <c r="O838" s="188" t="s">
        <v>915</v>
      </c>
      <c r="P838" s="189">
        <v>3284631.43</v>
      </c>
      <c r="Q838" s="189">
        <f>Q839</f>
        <v>0</v>
      </c>
      <c r="R838" s="189">
        <f>R839</f>
        <v>0</v>
      </c>
      <c r="S838" s="189">
        <f>S839</f>
        <v>3284631.43</v>
      </c>
      <c r="T838" s="189">
        <f t="shared" si="122"/>
        <v>2483.8410692679977</v>
      </c>
      <c r="U838" s="189">
        <f>U839</f>
        <v>4377.4155836830614</v>
      </c>
      <c r="V838" s="170">
        <f t="shared" si="125"/>
        <v>1893.5745144150637</v>
      </c>
      <c r="W838" s="170"/>
      <c r="X838" s="170"/>
      <c r="Y838" s="173" t="e">
        <f t="shared" si="126"/>
        <v>#N/A</v>
      </c>
      <c r="AA838" s="173" t="e">
        <f t="shared" si="127"/>
        <v>#N/A</v>
      </c>
      <c r="AH838" s="173" t="e">
        <f t="shared" si="128"/>
        <v>#N/A</v>
      </c>
      <c r="AS838" s="173" t="e">
        <f t="shared" si="129"/>
        <v>#N/A</v>
      </c>
    </row>
    <row r="839" spans="1:45" s="173" customFormat="1" ht="36" customHeight="1" x14ac:dyDescent="0.9">
      <c r="A839" s="173">
        <v>1</v>
      </c>
      <c r="B839" s="91">
        <f>SUBTOTAL(103,$A$546:A839)</f>
        <v>279</v>
      </c>
      <c r="C839" s="90" t="s">
        <v>1309</v>
      </c>
      <c r="D839" s="185">
        <v>1981</v>
      </c>
      <c r="E839" s="185"/>
      <c r="F839" s="191" t="s">
        <v>326</v>
      </c>
      <c r="G839" s="185">
        <v>2</v>
      </c>
      <c r="H839" s="185">
        <v>4</v>
      </c>
      <c r="I839" s="186">
        <v>1322.4</v>
      </c>
      <c r="J839" s="186">
        <v>1191.4000000000001</v>
      </c>
      <c r="K839" s="186">
        <v>1136.8000000000002</v>
      </c>
      <c r="L839" s="187">
        <v>36</v>
      </c>
      <c r="M839" s="185" t="s">
        <v>271</v>
      </c>
      <c r="N839" s="185" t="s">
        <v>272</v>
      </c>
      <c r="O839" s="188" t="s">
        <v>274</v>
      </c>
      <c r="P839" s="189">
        <v>3284631.43</v>
      </c>
      <c r="Q839" s="189">
        <v>0</v>
      </c>
      <c r="R839" s="189">
        <v>0</v>
      </c>
      <c r="S839" s="189">
        <f>P839-Q839-R839</f>
        <v>3284631.43</v>
      </c>
      <c r="T839" s="189">
        <f t="shared" si="122"/>
        <v>2483.8410692679977</v>
      </c>
      <c r="U839" s="189">
        <f>AG839</f>
        <v>4377.4155836830614</v>
      </c>
      <c r="V839" s="170">
        <f t="shared" si="125"/>
        <v>1893.5745144150637</v>
      </c>
      <c r="W839" s="170"/>
      <c r="X839" s="170"/>
      <c r="Y839" s="173" t="e">
        <f t="shared" si="126"/>
        <v>#N/A</v>
      </c>
      <c r="AA839" s="173" t="e">
        <f t="shared" si="127"/>
        <v>#N/A</v>
      </c>
      <c r="AG839" s="173">
        <f>AH839*6191.24/J839</f>
        <v>4377.4155836830614</v>
      </c>
      <c r="AH839" s="173">
        <f t="shared" si="128"/>
        <v>842.36</v>
      </c>
      <c r="AS839" s="173" t="e">
        <f t="shared" si="129"/>
        <v>#N/A</v>
      </c>
    </row>
    <row r="840" spans="1:45" s="173" customFormat="1" ht="36" customHeight="1" x14ac:dyDescent="0.9">
      <c r="B840" s="90" t="s">
        <v>892</v>
      </c>
      <c r="C840" s="90"/>
      <c r="D840" s="185" t="s">
        <v>915</v>
      </c>
      <c r="E840" s="185" t="s">
        <v>915</v>
      </c>
      <c r="F840" s="185" t="s">
        <v>915</v>
      </c>
      <c r="G840" s="185" t="s">
        <v>915</v>
      </c>
      <c r="H840" s="185" t="s">
        <v>915</v>
      </c>
      <c r="I840" s="186">
        <f>I841</f>
        <v>924.3</v>
      </c>
      <c r="J840" s="186">
        <f>J841</f>
        <v>558.9</v>
      </c>
      <c r="K840" s="186">
        <f>K841</f>
        <v>527.1</v>
      </c>
      <c r="L840" s="187">
        <f>L841</f>
        <v>24</v>
      </c>
      <c r="M840" s="185" t="s">
        <v>915</v>
      </c>
      <c r="N840" s="185" t="s">
        <v>915</v>
      </c>
      <c r="O840" s="188" t="s">
        <v>915</v>
      </c>
      <c r="P840" s="189">
        <v>2255220</v>
      </c>
      <c r="Q840" s="189">
        <f>Q841</f>
        <v>0</v>
      </c>
      <c r="R840" s="189">
        <f>R841</f>
        <v>0</v>
      </c>
      <c r="S840" s="189">
        <f>S841</f>
        <v>2255220</v>
      </c>
      <c r="T840" s="189">
        <f t="shared" si="122"/>
        <v>2439.9221032132427</v>
      </c>
      <c r="U840" s="189">
        <f>U841</f>
        <v>2498.1931840311586</v>
      </c>
      <c r="V840" s="170">
        <f t="shared" si="125"/>
        <v>58.271080817915845</v>
      </c>
      <c r="W840" s="170"/>
      <c r="X840" s="170"/>
      <c r="Y840" s="173" t="e">
        <f t="shared" si="126"/>
        <v>#N/A</v>
      </c>
      <c r="AA840" s="173" t="e">
        <f t="shared" si="127"/>
        <v>#N/A</v>
      </c>
      <c r="AH840" s="173" t="e">
        <f t="shared" si="128"/>
        <v>#N/A</v>
      </c>
      <c r="AS840" s="173" t="e">
        <f t="shared" si="129"/>
        <v>#N/A</v>
      </c>
    </row>
    <row r="841" spans="1:45" s="173" customFormat="1" ht="36" customHeight="1" x14ac:dyDescent="0.9">
      <c r="A841" s="173">
        <v>1</v>
      </c>
      <c r="B841" s="91">
        <f>SUBTOTAL(103,$A$546:A841)</f>
        <v>280</v>
      </c>
      <c r="C841" s="90" t="s">
        <v>247</v>
      </c>
      <c r="D841" s="185">
        <v>1986</v>
      </c>
      <c r="E841" s="185"/>
      <c r="F841" s="191" t="s">
        <v>319</v>
      </c>
      <c r="G841" s="185">
        <v>2</v>
      </c>
      <c r="H841" s="185">
        <v>2</v>
      </c>
      <c r="I841" s="186">
        <v>924.3</v>
      </c>
      <c r="J841" s="186">
        <v>558.9</v>
      </c>
      <c r="K841" s="186">
        <v>527.1</v>
      </c>
      <c r="L841" s="187">
        <v>24</v>
      </c>
      <c r="M841" s="185" t="s">
        <v>271</v>
      </c>
      <c r="N841" s="185" t="s">
        <v>272</v>
      </c>
      <c r="O841" s="188" t="s">
        <v>274</v>
      </c>
      <c r="P841" s="189">
        <v>2255220</v>
      </c>
      <c r="Q841" s="189">
        <v>0</v>
      </c>
      <c r="R841" s="189">
        <v>0</v>
      </c>
      <c r="S841" s="189">
        <f>P841-Q841-R841</f>
        <v>2255220</v>
      </c>
      <c r="T841" s="189">
        <f t="shared" si="122"/>
        <v>2439.9221032132427</v>
      </c>
      <c r="U841" s="189">
        <f>Y841</f>
        <v>2498.1931840311586</v>
      </c>
      <c r="V841" s="170">
        <f t="shared" si="125"/>
        <v>58.271080817915845</v>
      </c>
      <c r="W841" s="170"/>
      <c r="X841" s="170"/>
      <c r="Y841" s="173">
        <f t="shared" si="126"/>
        <v>2498.1931840311586</v>
      </c>
      <c r="AA841" s="173">
        <f t="shared" si="127"/>
        <v>442.2</v>
      </c>
      <c r="AH841" s="173" t="e">
        <f t="shared" si="128"/>
        <v>#N/A</v>
      </c>
      <c r="AS841" s="173" t="e">
        <f t="shared" si="129"/>
        <v>#N/A</v>
      </c>
    </row>
    <row r="842" spans="1:45" s="173" customFormat="1" ht="36" customHeight="1" x14ac:dyDescent="0.9">
      <c r="B842" s="90" t="s">
        <v>893</v>
      </c>
      <c r="C842" s="194"/>
      <c r="D842" s="185" t="s">
        <v>915</v>
      </c>
      <c r="E842" s="185" t="s">
        <v>915</v>
      </c>
      <c r="F842" s="185" t="s">
        <v>915</v>
      </c>
      <c r="G842" s="185" t="s">
        <v>915</v>
      </c>
      <c r="H842" s="185" t="s">
        <v>915</v>
      </c>
      <c r="I842" s="186">
        <f>I843</f>
        <v>622.4</v>
      </c>
      <c r="J842" s="186">
        <f>J843</f>
        <v>576.29999999999995</v>
      </c>
      <c r="K842" s="186">
        <f>K843</f>
        <v>453.4</v>
      </c>
      <c r="L842" s="187">
        <f>L843</f>
        <v>35</v>
      </c>
      <c r="M842" s="185" t="s">
        <v>915</v>
      </c>
      <c r="N842" s="185" t="s">
        <v>915</v>
      </c>
      <c r="O842" s="188" t="s">
        <v>915</v>
      </c>
      <c r="P842" s="189">
        <v>2610900</v>
      </c>
      <c r="Q842" s="189">
        <f>Q843</f>
        <v>0</v>
      </c>
      <c r="R842" s="189">
        <f>R843</f>
        <v>0</v>
      </c>
      <c r="S842" s="189">
        <f>S843</f>
        <v>2610900</v>
      </c>
      <c r="T842" s="189">
        <f t="shared" si="122"/>
        <v>4194.8907455012859</v>
      </c>
      <c r="U842" s="189">
        <f>U843</f>
        <v>4194.8907455012859</v>
      </c>
      <c r="V842" s="170">
        <f t="shared" si="125"/>
        <v>0</v>
      </c>
      <c r="W842" s="170"/>
      <c r="X842" s="170"/>
      <c r="Y842" s="173" t="e">
        <f t="shared" si="126"/>
        <v>#N/A</v>
      </c>
      <c r="AA842" s="173" t="e">
        <f t="shared" si="127"/>
        <v>#N/A</v>
      </c>
      <c r="AH842" s="173" t="e">
        <f t="shared" si="128"/>
        <v>#N/A</v>
      </c>
      <c r="AS842" s="173" t="e">
        <f t="shared" si="129"/>
        <v>#N/A</v>
      </c>
    </row>
    <row r="843" spans="1:45" s="173" customFormat="1" ht="36" customHeight="1" x14ac:dyDescent="0.9">
      <c r="A843" s="173">
        <v>1</v>
      </c>
      <c r="B843" s="91">
        <f>SUBTOTAL(103,$A$546:A843)</f>
        <v>281</v>
      </c>
      <c r="C843" s="195" t="s">
        <v>2</v>
      </c>
      <c r="D843" s="185">
        <v>1963</v>
      </c>
      <c r="E843" s="185"/>
      <c r="F843" s="191" t="s">
        <v>273</v>
      </c>
      <c r="G843" s="185">
        <v>2</v>
      </c>
      <c r="H843" s="185">
        <v>2</v>
      </c>
      <c r="I843" s="186">
        <v>622.4</v>
      </c>
      <c r="J843" s="186">
        <v>576.29999999999995</v>
      </c>
      <c r="K843" s="186">
        <v>453.4</v>
      </c>
      <c r="L843" s="187">
        <v>35</v>
      </c>
      <c r="M843" s="185" t="s">
        <v>271</v>
      </c>
      <c r="N843" s="185" t="s">
        <v>272</v>
      </c>
      <c r="O843" s="188" t="s">
        <v>274</v>
      </c>
      <c r="P843" s="189">
        <v>2610900</v>
      </c>
      <c r="Q843" s="189">
        <v>0</v>
      </c>
      <c r="R843" s="189">
        <v>0</v>
      </c>
      <c r="S843" s="189">
        <f>P843-Q843-R843</f>
        <v>2610900</v>
      </c>
      <c r="T843" s="189">
        <f t="shared" si="122"/>
        <v>4194.8907455012859</v>
      </c>
      <c r="U843" s="189">
        <f>Y843</f>
        <v>4194.8907455012859</v>
      </c>
      <c r="V843" s="170">
        <f t="shared" si="125"/>
        <v>0</v>
      </c>
      <c r="W843" s="170"/>
      <c r="X843" s="170"/>
      <c r="Y843" s="173">
        <f t="shared" si="126"/>
        <v>4194.8907455012859</v>
      </c>
      <c r="AA843" s="173">
        <f t="shared" si="127"/>
        <v>500</v>
      </c>
      <c r="AH843" s="173" t="e">
        <f t="shared" si="128"/>
        <v>#N/A</v>
      </c>
      <c r="AS843" s="173" t="e">
        <f t="shared" si="129"/>
        <v>#N/A</v>
      </c>
    </row>
    <row r="844" spans="1:45" s="173" customFormat="1" ht="36" customHeight="1" x14ac:dyDescent="0.9">
      <c r="B844" s="90" t="s">
        <v>894</v>
      </c>
      <c r="C844" s="195"/>
      <c r="D844" s="185" t="s">
        <v>915</v>
      </c>
      <c r="E844" s="185" t="s">
        <v>915</v>
      </c>
      <c r="F844" s="185" t="s">
        <v>915</v>
      </c>
      <c r="G844" s="185" t="s">
        <v>915</v>
      </c>
      <c r="H844" s="185" t="s">
        <v>915</v>
      </c>
      <c r="I844" s="186">
        <f>I845</f>
        <v>531.9</v>
      </c>
      <c r="J844" s="186">
        <f>J845</f>
        <v>471.5</v>
      </c>
      <c r="K844" s="186">
        <f>K845</f>
        <v>438.4</v>
      </c>
      <c r="L844" s="187">
        <f>L845</f>
        <v>22</v>
      </c>
      <c r="M844" s="185" t="s">
        <v>915</v>
      </c>
      <c r="N844" s="185" t="s">
        <v>915</v>
      </c>
      <c r="O844" s="188" t="s">
        <v>915</v>
      </c>
      <c r="P844" s="189">
        <v>3133080</v>
      </c>
      <c r="Q844" s="189">
        <f>Q845</f>
        <v>0</v>
      </c>
      <c r="R844" s="189">
        <f>R845</f>
        <v>0</v>
      </c>
      <c r="S844" s="189">
        <f>S845</f>
        <v>3133080</v>
      </c>
      <c r="T844" s="189">
        <f t="shared" si="122"/>
        <v>5890.3553299492387</v>
      </c>
      <c r="U844" s="189">
        <f>U845</f>
        <v>5890.3553299492387</v>
      </c>
      <c r="V844" s="170">
        <f t="shared" si="125"/>
        <v>0</v>
      </c>
      <c r="W844" s="170"/>
      <c r="X844" s="170"/>
      <c r="Y844" s="173" t="e">
        <f t="shared" si="126"/>
        <v>#N/A</v>
      </c>
      <c r="AA844" s="173" t="e">
        <f t="shared" si="127"/>
        <v>#N/A</v>
      </c>
      <c r="AH844" s="173" t="e">
        <f t="shared" si="128"/>
        <v>#N/A</v>
      </c>
      <c r="AS844" s="173" t="e">
        <f t="shared" si="129"/>
        <v>#N/A</v>
      </c>
    </row>
    <row r="845" spans="1:45" s="173" customFormat="1" ht="36" customHeight="1" x14ac:dyDescent="0.9">
      <c r="A845" s="173">
        <v>1</v>
      </c>
      <c r="B845" s="91">
        <f>SUBTOTAL(103,$A$546:A845)</f>
        <v>282</v>
      </c>
      <c r="C845" s="195" t="s">
        <v>1</v>
      </c>
      <c r="D845" s="185">
        <v>1962</v>
      </c>
      <c r="E845" s="185"/>
      <c r="F845" s="191" t="s">
        <v>273</v>
      </c>
      <c r="G845" s="185">
        <v>2</v>
      </c>
      <c r="H845" s="185">
        <v>2</v>
      </c>
      <c r="I845" s="186">
        <v>531.9</v>
      </c>
      <c r="J845" s="186">
        <v>471.5</v>
      </c>
      <c r="K845" s="186">
        <v>438.4</v>
      </c>
      <c r="L845" s="187">
        <v>22</v>
      </c>
      <c r="M845" s="185" t="s">
        <v>271</v>
      </c>
      <c r="N845" s="185" t="s">
        <v>272</v>
      </c>
      <c r="O845" s="188" t="s">
        <v>274</v>
      </c>
      <c r="P845" s="189">
        <v>3133080</v>
      </c>
      <c r="Q845" s="189">
        <v>0</v>
      </c>
      <c r="R845" s="189">
        <v>0</v>
      </c>
      <c r="S845" s="189">
        <f>P845-Q845-R845</f>
        <v>3133080</v>
      </c>
      <c r="T845" s="189">
        <f t="shared" si="122"/>
        <v>5890.3553299492387</v>
      </c>
      <c r="U845" s="189">
        <f>Y845</f>
        <v>5890.3553299492387</v>
      </c>
      <c r="V845" s="170">
        <f t="shared" si="125"/>
        <v>0</v>
      </c>
      <c r="W845" s="170"/>
      <c r="X845" s="170"/>
      <c r="Y845" s="173">
        <f t="shared" si="126"/>
        <v>5890.3553299492387</v>
      </c>
      <c r="AA845" s="173">
        <f t="shared" si="127"/>
        <v>600</v>
      </c>
      <c r="AH845" s="173" t="e">
        <f t="shared" si="128"/>
        <v>#N/A</v>
      </c>
      <c r="AS845" s="173" t="e">
        <f t="shared" si="129"/>
        <v>#N/A</v>
      </c>
    </row>
    <row r="846" spans="1:45" s="173" customFormat="1" ht="36" customHeight="1" x14ac:dyDescent="0.9">
      <c r="B846" s="90" t="s">
        <v>853</v>
      </c>
      <c r="C846" s="192"/>
      <c r="D846" s="185" t="s">
        <v>915</v>
      </c>
      <c r="E846" s="185" t="s">
        <v>915</v>
      </c>
      <c r="F846" s="185" t="s">
        <v>915</v>
      </c>
      <c r="G846" s="185" t="s">
        <v>915</v>
      </c>
      <c r="H846" s="185" t="s">
        <v>915</v>
      </c>
      <c r="I846" s="186">
        <f>I847</f>
        <v>7845.75</v>
      </c>
      <c r="J846" s="186">
        <f>J847</f>
        <v>6087.05</v>
      </c>
      <c r="K846" s="186">
        <f>K847</f>
        <v>5920.85</v>
      </c>
      <c r="L846" s="187">
        <f>L847</f>
        <v>225</v>
      </c>
      <c r="M846" s="185" t="s">
        <v>915</v>
      </c>
      <c r="N846" s="185" t="s">
        <v>915</v>
      </c>
      <c r="O846" s="188" t="s">
        <v>915</v>
      </c>
      <c r="P846" s="189">
        <v>8458120</v>
      </c>
      <c r="Q846" s="189">
        <f>Q847</f>
        <v>0</v>
      </c>
      <c r="R846" s="189">
        <f>R847</f>
        <v>0</v>
      </c>
      <c r="S846" s="189">
        <f>S847</f>
        <v>8458120</v>
      </c>
      <c r="T846" s="189">
        <f t="shared" si="122"/>
        <v>1078.0511742025938</v>
      </c>
      <c r="U846" s="189">
        <f>U847</f>
        <v>1331.1155721250359</v>
      </c>
      <c r="V846" s="170">
        <f t="shared" si="125"/>
        <v>253.06439792244214</v>
      </c>
      <c r="W846" s="170"/>
      <c r="X846" s="170"/>
      <c r="Y846" s="173" t="e">
        <f t="shared" si="126"/>
        <v>#N/A</v>
      </c>
      <c r="AA846" s="173" t="e">
        <f t="shared" si="127"/>
        <v>#N/A</v>
      </c>
      <c r="AH846" s="173" t="e">
        <f t="shared" si="128"/>
        <v>#N/A</v>
      </c>
      <c r="AS846" s="173" t="e">
        <f t="shared" si="129"/>
        <v>#N/A</v>
      </c>
    </row>
    <row r="847" spans="1:45" s="173" customFormat="1" ht="36" customHeight="1" x14ac:dyDescent="0.9">
      <c r="A847" s="173">
        <v>1</v>
      </c>
      <c r="B847" s="91">
        <f>SUBTOTAL(103,$A$546:A847)</f>
        <v>283</v>
      </c>
      <c r="C847" s="90" t="s">
        <v>718</v>
      </c>
      <c r="D847" s="185">
        <v>1973</v>
      </c>
      <c r="E847" s="185">
        <v>1973</v>
      </c>
      <c r="F847" s="191" t="s">
        <v>326</v>
      </c>
      <c r="G847" s="185">
        <v>5</v>
      </c>
      <c r="H847" s="185">
        <v>8</v>
      </c>
      <c r="I847" s="186">
        <v>7845.75</v>
      </c>
      <c r="J847" s="186">
        <v>6087.05</v>
      </c>
      <c r="K847" s="186">
        <v>5920.85</v>
      </c>
      <c r="L847" s="187">
        <v>225</v>
      </c>
      <c r="M847" s="185" t="s">
        <v>271</v>
      </c>
      <c r="N847" s="185" t="s">
        <v>275</v>
      </c>
      <c r="O847" s="188" t="s">
        <v>752</v>
      </c>
      <c r="P847" s="189">
        <v>8458120</v>
      </c>
      <c r="Q847" s="189">
        <v>0</v>
      </c>
      <c r="R847" s="189">
        <v>0</v>
      </c>
      <c r="S847" s="189">
        <f>P847-Q847-R847</f>
        <v>8458120</v>
      </c>
      <c r="T847" s="189">
        <f t="shared" ref="T847:T910" si="133">P847/I847</f>
        <v>1078.0511742025938</v>
      </c>
      <c r="U847" s="189">
        <f>Y847</f>
        <v>1331.1155721250359</v>
      </c>
      <c r="V847" s="170">
        <f t="shared" si="125"/>
        <v>253.06439792244214</v>
      </c>
      <c r="W847" s="170"/>
      <c r="X847" s="170"/>
      <c r="Y847" s="173">
        <f t="shared" si="126"/>
        <v>1331.1155721250359</v>
      </c>
      <c r="AA847" s="173">
        <f t="shared" si="127"/>
        <v>2000</v>
      </c>
      <c r="AH847" s="173" t="e">
        <f t="shared" si="128"/>
        <v>#N/A</v>
      </c>
      <c r="AS847" s="173" t="e">
        <f t="shared" si="129"/>
        <v>#N/A</v>
      </c>
    </row>
    <row r="848" spans="1:45" s="173" customFormat="1" ht="36" customHeight="1" x14ac:dyDescent="0.9">
      <c r="B848" s="90" t="s">
        <v>895</v>
      </c>
      <c r="C848" s="90"/>
      <c r="D848" s="185" t="s">
        <v>915</v>
      </c>
      <c r="E848" s="185" t="s">
        <v>915</v>
      </c>
      <c r="F848" s="185" t="s">
        <v>915</v>
      </c>
      <c r="G848" s="185" t="s">
        <v>915</v>
      </c>
      <c r="H848" s="185" t="s">
        <v>915</v>
      </c>
      <c r="I848" s="186">
        <f>I849</f>
        <v>550.20000000000005</v>
      </c>
      <c r="J848" s="186">
        <f>J849</f>
        <v>517.20000000000005</v>
      </c>
      <c r="K848" s="186">
        <f>K849</f>
        <v>517.20000000000005</v>
      </c>
      <c r="L848" s="187">
        <f>L849</f>
        <v>20</v>
      </c>
      <c r="M848" s="185" t="s">
        <v>915</v>
      </c>
      <c r="N848" s="185" t="s">
        <v>915</v>
      </c>
      <c r="O848" s="188" t="s">
        <v>915</v>
      </c>
      <c r="P848" s="189">
        <v>2537436</v>
      </c>
      <c r="Q848" s="189">
        <f>Q849</f>
        <v>0</v>
      </c>
      <c r="R848" s="189">
        <f>R849</f>
        <v>0</v>
      </c>
      <c r="S848" s="189">
        <f>S849</f>
        <v>2537436</v>
      </c>
      <c r="T848" s="189">
        <f t="shared" si="133"/>
        <v>4611.8429661941109</v>
      </c>
      <c r="U848" s="189">
        <f>U849</f>
        <v>5694.4383860414391</v>
      </c>
      <c r="V848" s="170">
        <f t="shared" si="125"/>
        <v>1082.5954198473282</v>
      </c>
      <c r="W848" s="170"/>
      <c r="X848" s="170"/>
      <c r="Y848" s="173" t="e">
        <f t="shared" si="126"/>
        <v>#N/A</v>
      </c>
      <c r="AA848" s="173" t="e">
        <f t="shared" si="127"/>
        <v>#N/A</v>
      </c>
      <c r="AH848" s="173" t="e">
        <f t="shared" si="128"/>
        <v>#N/A</v>
      </c>
      <c r="AS848" s="173" t="e">
        <f t="shared" si="129"/>
        <v>#N/A</v>
      </c>
    </row>
    <row r="849" spans="1:45" s="173" customFormat="1" ht="36" customHeight="1" x14ac:dyDescent="0.9">
      <c r="A849" s="173">
        <v>1</v>
      </c>
      <c r="B849" s="91">
        <f>SUBTOTAL(103,$A$546:A849)</f>
        <v>284</v>
      </c>
      <c r="C849" s="90" t="s">
        <v>724</v>
      </c>
      <c r="D849" s="185">
        <v>1970</v>
      </c>
      <c r="E849" s="185"/>
      <c r="F849" s="191" t="s">
        <v>273</v>
      </c>
      <c r="G849" s="185">
        <v>2</v>
      </c>
      <c r="H849" s="185">
        <v>2</v>
      </c>
      <c r="I849" s="186">
        <v>550.20000000000005</v>
      </c>
      <c r="J849" s="186">
        <v>517.20000000000005</v>
      </c>
      <c r="K849" s="186">
        <v>517.20000000000005</v>
      </c>
      <c r="L849" s="187">
        <v>20</v>
      </c>
      <c r="M849" s="185" t="s">
        <v>271</v>
      </c>
      <c r="N849" s="185" t="s">
        <v>272</v>
      </c>
      <c r="O849" s="188" t="s">
        <v>274</v>
      </c>
      <c r="P849" s="189">
        <v>2537436</v>
      </c>
      <c r="Q849" s="189">
        <v>0</v>
      </c>
      <c r="R849" s="189">
        <v>0</v>
      </c>
      <c r="S849" s="189">
        <f>P849-Q849-R849</f>
        <v>2537436</v>
      </c>
      <c r="T849" s="189">
        <f t="shared" si="133"/>
        <v>4611.8429661941109</v>
      </c>
      <c r="U849" s="189">
        <f>Y849</f>
        <v>5694.4383860414391</v>
      </c>
      <c r="V849" s="170">
        <f t="shared" si="125"/>
        <v>1082.5954198473282</v>
      </c>
      <c r="W849" s="170"/>
      <c r="X849" s="170"/>
      <c r="Y849" s="173">
        <f t="shared" si="126"/>
        <v>5694.4383860414391</v>
      </c>
      <c r="AA849" s="173">
        <f t="shared" si="127"/>
        <v>600</v>
      </c>
      <c r="AH849" s="173" t="e">
        <f t="shared" si="128"/>
        <v>#N/A</v>
      </c>
      <c r="AS849" s="173" t="e">
        <f t="shared" si="129"/>
        <v>#N/A</v>
      </c>
    </row>
    <row r="850" spans="1:45" s="173" customFormat="1" ht="36" customHeight="1" x14ac:dyDescent="0.9">
      <c r="B850" s="90" t="s">
        <v>854</v>
      </c>
      <c r="C850" s="90"/>
      <c r="D850" s="185" t="s">
        <v>915</v>
      </c>
      <c r="E850" s="185" t="s">
        <v>915</v>
      </c>
      <c r="F850" s="185" t="s">
        <v>915</v>
      </c>
      <c r="G850" s="185" t="s">
        <v>915</v>
      </c>
      <c r="H850" s="185" t="s">
        <v>915</v>
      </c>
      <c r="I850" s="186">
        <f>I851</f>
        <v>1206.8</v>
      </c>
      <c r="J850" s="186">
        <f>J851</f>
        <v>1107.8</v>
      </c>
      <c r="K850" s="186">
        <f>K851</f>
        <v>1107.8</v>
      </c>
      <c r="L850" s="187">
        <f>L851</f>
        <v>30</v>
      </c>
      <c r="M850" s="185" t="s">
        <v>915</v>
      </c>
      <c r="N850" s="185" t="s">
        <v>915</v>
      </c>
      <c r="O850" s="188" t="s">
        <v>915</v>
      </c>
      <c r="P850" s="189">
        <v>2968784.92</v>
      </c>
      <c r="Q850" s="189">
        <f>Q851</f>
        <v>0</v>
      </c>
      <c r="R850" s="189">
        <f>R851</f>
        <v>0</v>
      </c>
      <c r="S850" s="189">
        <f>S851</f>
        <v>2968784.92</v>
      </c>
      <c r="T850" s="189">
        <f t="shared" si="133"/>
        <v>2460.0471660589992</v>
      </c>
      <c r="U850" s="189">
        <f>U851</f>
        <v>3037.540271793172</v>
      </c>
      <c r="V850" s="170">
        <f t="shared" si="125"/>
        <v>577.49310573417279</v>
      </c>
      <c r="W850" s="170"/>
      <c r="X850" s="170"/>
      <c r="Y850" s="173" t="e">
        <f t="shared" si="126"/>
        <v>#N/A</v>
      </c>
      <c r="AA850" s="173" t="e">
        <f t="shared" si="127"/>
        <v>#N/A</v>
      </c>
      <c r="AH850" s="173" t="e">
        <f t="shared" si="128"/>
        <v>#N/A</v>
      </c>
      <c r="AS850" s="173" t="e">
        <f t="shared" si="129"/>
        <v>#N/A</v>
      </c>
    </row>
    <row r="851" spans="1:45" s="173" customFormat="1" ht="36" customHeight="1" x14ac:dyDescent="0.9">
      <c r="A851" s="173">
        <v>1</v>
      </c>
      <c r="B851" s="91">
        <f>SUBTOTAL(103,$A$546:A851)</f>
        <v>285</v>
      </c>
      <c r="C851" s="90" t="s">
        <v>721</v>
      </c>
      <c r="D851" s="185">
        <v>1973</v>
      </c>
      <c r="E851" s="185">
        <v>2006</v>
      </c>
      <c r="F851" s="191" t="s">
        <v>273</v>
      </c>
      <c r="G851" s="185">
        <v>3</v>
      </c>
      <c r="H851" s="185">
        <v>2</v>
      </c>
      <c r="I851" s="186">
        <v>1206.8</v>
      </c>
      <c r="J851" s="186">
        <v>1107.8</v>
      </c>
      <c r="K851" s="186">
        <v>1107.8</v>
      </c>
      <c r="L851" s="187">
        <v>30</v>
      </c>
      <c r="M851" s="185" t="s">
        <v>271</v>
      </c>
      <c r="N851" s="185" t="s">
        <v>275</v>
      </c>
      <c r="O851" s="188" t="s">
        <v>753</v>
      </c>
      <c r="P851" s="189">
        <v>2968784.92</v>
      </c>
      <c r="Q851" s="189">
        <v>0</v>
      </c>
      <c r="R851" s="189">
        <v>0</v>
      </c>
      <c r="S851" s="189">
        <f>P851-Q851-R851</f>
        <v>2968784.92</v>
      </c>
      <c r="T851" s="189">
        <f t="shared" si="133"/>
        <v>2460.0471660589992</v>
      </c>
      <c r="U851" s="189">
        <f>Y851</f>
        <v>3037.540271793172</v>
      </c>
      <c r="V851" s="170">
        <f t="shared" si="125"/>
        <v>577.49310573417279</v>
      </c>
      <c r="W851" s="170"/>
      <c r="X851" s="170"/>
      <c r="Y851" s="173">
        <f t="shared" si="126"/>
        <v>3037.540271793172</v>
      </c>
      <c r="AA851" s="173">
        <f t="shared" si="127"/>
        <v>702</v>
      </c>
      <c r="AH851" s="173" t="e">
        <f t="shared" si="128"/>
        <v>#N/A</v>
      </c>
      <c r="AS851" s="173" t="e">
        <f t="shared" si="129"/>
        <v>#N/A</v>
      </c>
    </row>
    <row r="852" spans="1:45" s="173" customFormat="1" ht="36" customHeight="1" x14ac:dyDescent="0.9">
      <c r="B852" s="90" t="s">
        <v>856</v>
      </c>
      <c r="C852" s="192"/>
      <c r="D852" s="185" t="s">
        <v>915</v>
      </c>
      <c r="E852" s="185" t="s">
        <v>915</v>
      </c>
      <c r="F852" s="185" t="s">
        <v>915</v>
      </c>
      <c r="G852" s="185" t="s">
        <v>915</v>
      </c>
      <c r="H852" s="185" t="s">
        <v>915</v>
      </c>
      <c r="I852" s="186">
        <f>SUM(I853:I860)</f>
        <v>14693.869999999999</v>
      </c>
      <c r="J852" s="186">
        <f>SUM(J853:J860)</f>
        <v>11242.789999999999</v>
      </c>
      <c r="K852" s="186">
        <f>SUM(K853:K860)</f>
        <v>11093.99</v>
      </c>
      <c r="L852" s="187">
        <f>SUM(L853:L860)</f>
        <v>542</v>
      </c>
      <c r="M852" s="185" t="s">
        <v>915</v>
      </c>
      <c r="N852" s="185" t="s">
        <v>915</v>
      </c>
      <c r="O852" s="188" t="s">
        <v>915</v>
      </c>
      <c r="P852" s="189">
        <v>30717231.84</v>
      </c>
      <c r="Q852" s="189">
        <f>SUM(Q853:Q860)</f>
        <v>0</v>
      </c>
      <c r="R852" s="189">
        <f>SUM(R853:R860)</f>
        <v>0</v>
      </c>
      <c r="S852" s="189">
        <f>SUM(S853:S860)</f>
        <v>30717231.84</v>
      </c>
      <c r="T852" s="189">
        <f t="shared" si="133"/>
        <v>2090.4793522741115</v>
      </c>
      <c r="U852" s="189">
        <f>MAX(U853:U860)</f>
        <v>5006.1477733961719</v>
      </c>
      <c r="V852" s="170">
        <f t="shared" si="125"/>
        <v>2915.6684211220604</v>
      </c>
      <c r="W852" s="170"/>
      <c r="X852" s="170"/>
      <c r="Y852" s="173" t="e">
        <f t="shared" si="126"/>
        <v>#N/A</v>
      </c>
      <c r="AA852" s="173" t="e">
        <f t="shared" si="127"/>
        <v>#N/A</v>
      </c>
      <c r="AH852" s="173" t="e">
        <f t="shared" si="128"/>
        <v>#N/A</v>
      </c>
      <c r="AS852" s="173" t="e">
        <f t="shared" si="129"/>
        <v>#N/A</v>
      </c>
    </row>
    <row r="853" spans="1:45" s="173" customFormat="1" ht="36" customHeight="1" x14ac:dyDescent="0.9">
      <c r="A853" s="173">
        <v>1</v>
      </c>
      <c r="B853" s="91">
        <f>SUBTOTAL(103,$A$546:A853)</f>
        <v>286</v>
      </c>
      <c r="C853" s="90" t="s">
        <v>124</v>
      </c>
      <c r="D853" s="185">
        <v>1992</v>
      </c>
      <c r="E853" s="185"/>
      <c r="F853" s="191" t="s">
        <v>273</v>
      </c>
      <c r="G853" s="185">
        <v>3</v>
      </c>
      <c r="H853" s="185">
        <v>2</v>
      </c>
      <c r="I853" s="186">
        <v>1555.9</v>
      </c>
      <c r="J853" s="186">
        <v>1062.8</v>
      </c>
      <c r="K853" s="186">
        <v>1019.8</v>
      </c>
      <c r="L853" s="187">
        <v>42</v>
      </c>
      <c r="M853" s="185" t="s">
        <v>271</v>
      </c>
      <c r="N853" s="185" t="s">
        <v>275</v>
      </c>
      <c r="O853" s="188" t="s">
        <v>290</v>
      </c>
      <c r="P853" s="189">
        <v>3312500</v>
      </c>
      <c r="Q853" s="189">
        <v>0</v>
      </c>
      <c r="R853" s="189">
        <v>0</v>
      </c>
      <c r="S853" s="189">
        <f t="shared" ref="S853:S860" si="134">P853-Q853-R853</f>
        <v>3312500</v>
      </c>
      <c r="T853" s="189">
        <f t="shared" si="133"/>
        <v>2128.9928658654153</v>
      </c>
      <c r="U853" s="189">
        <f t="shared" ref="U853:U860" si="135">Y853</f>
        <v>2223.4349893952053</v>
      </c>
      <c r="V853" s="170">
        <f t="shared" si="125"/>
        <v>94.442123529790024</v>
      </c>
      <c r="W853" s="170"/>
      <c r="X853" s="170"/>
      <c r="Y853" s="173">
        <f t="shared" si="126"/>
        <v>2223.4349893952053</v>
      </c>
      <c r="AA853" s="173">
        <f t="shared" si="127"/>
        <v>662.5</v>
      </c>
      <c r="AH853" s="173" t="e">
        <f t="shared" si="128"/>
        <v>#N/A</v>
      </c>
      <c r="AS853" s="173" t="e">
        <f t="shared" si="129"/>
        <v>#N/A</v>
      </c>
    </row>
    <row r="854" spans="1:45" s="173" customFormat="1" ht="36" customHeight="1" x14ac:dyDescent="0.9">
      <c r="A854" s="173">
        <v>1</v>
      </c>
      <c r="B854" s="91">
        <f>SUBTOTAL(103,$A$546:A854)</f>
        <v>287</v>
      </c>
      <c r="C854" s="90" t="s">
        <v>129</v>
      </c>
      <c r="D854" s="185">
        <v>1983</v>
      </c>
      <c r="E854" s="185"/>
      <c r="F854" s="191" t="s">
        <v>273</v>
      </c>
      <c r="G854" s="185">
        <v>2</v>
      </c>
      <c r="H854" s="185">
        <v>3</v>
      </c>
      <c r="I854" s="186">
        <v>1039.7</v>
      </c>
      <c r="J854" s="186">
        <v>968.1</v>
      </c>
      <c r="K854" s="186">
        <v>908.6</v>
      </c>
      <c r="L854" s="187">
        <v>46</v>
      </c>
      <c r="M854" s="185" t="s">
        <v>271</v>
      </c>
      <c r="N854" s="185" t="s">
        <v>275</v>
      </c>
      <c r="O854" s="188" t="s">
        <v>290</v>
      </c>
      <c r="P854" s="189">
        <v>5204891.84</v>
      </c>
      <c r="Q854" s="189">
        <v>0</v>
      </c>
      <c r="R854" s="189">
        <v>0</v>
      </c>
      <c r="S854" s="189">
        <f t="shared" si="134"/>
        <v>5204891.84</v>
      </c>
      <c r="T854" s="189">
        <f t="shared" si="133"/>
        <v>5006.1477733961719</v>
      </c>
      <c r="U854" s="189">
        <v>5006.1477733961719</v>
      </c>
      <c r="V854" s="170">
        <f t="shared" si="125"/>
        <v>0</v>
      </c>
      <c r="W854" s="170"/>
      <c r="X854" s="170"/>
      <c r="Y854" s="173">
        <f t="shared" si="126"/>
        <v>3787.9018563047034</v>
      </c>
      <c r="AA854" s="173">
        <f t="shared" si="127"/>
        <v>754.2</v>
      </c>
      <c r="AH854" s="173" t="e">
        <f t="shared" si="128"/>
        <v>#N/A</v>
      </c>
      <c r="AS854" s="173" t="e">
        <f t="shared" si="129"/>
        <v>#N/A</v>
      </c>
    </row>
    <row r="855" spans="1:45" s="173" customFormat="1" ht="36" customHeight="1" x14ac:dyDescent="0.9">
      <c r="A855" s="173">
        <v>1</v>
      </c>
      <c r="B855" s="91">
        <f>SUBTOTAL(103,$A$546:A855)</f>
        <v>288</v>
      </c>
      <c r="C855" s="90" t="s">
        <v>127</v>
      </c>
      <c r="D855" s="185">
        <v>1981</v>
      </c>
      <c r="E855" s="185"/>
      <c r="F855" s="191" t="s">
        <v>273</v>
      </c>
      <c r="G855" s="185">
        <v>2</v>
      </c>
      <c r="H855" s="185">
        <v>3</v>
      </c>
      <c r="I855" s="186">
        <v>1572.8</v>
      </c>
      <c r="J855" s="186">
        <v>971.5</v>
      </c>
      <c r="K855" s="186">
        <v>925.2</v>
      </c>
      <c r="L855" s="187">
        <v>44</v>
      </c>
      <c r="M855" s="185" t="s">
        <v>271</v>
      </c>
      <c r="N855" s="185" t="s">
        <v>275</v>
      </c>
      <c r="O855" s="188" t="s">
        <v>290</v>
      </c>
      <c r="P855" s="189">
        <v>4430000</v>
      </c>
      <c r="Q855" s="189">
        <v>0</v>
      </c>
      <c r="R855" s="189">
        <v>0</v>
      </c>
      <c r="S855" s="189">
        <f t="shared" si="134"/>
        <v>4430000</v>
      </c>
      <c r="T855" s="189">
        <f t="shared" si="133"/>
        <v>2816.6327568667348</v>
      </c>
      <c r="U855" s="189">
        <f t="shared" si="135"/>
        <v>2941.5785859613429</v>
      </c>
      <c r="V855" s="170">
        <f t="shared" si="125"/>
        <v>124.94582909460814</v>
      </c>
      <c r="W855" s="170"/>
      <c r="X855" s="170"/>
      <c r="Y855" s="173">
        <f t="shared" si="126"/>
        <v>2941.5785859613429</v>
      </c>
      <c r="AA855" s="173">
        <f t="shared" si="127"/>
        <v>886</v>
      </c>
      <c r="AH855" s="173" t="e">
        <f t="shared" si="128"/>
        <v>#N/A</v>
      </c>
      <c r="AS855" s="173" t="e">
        <f t="shared" si="129"/>
        <v>#N/A</v>
      </c>
    </row>
    <row r="856" spans="1:45" s="173" customFormat="1" ht="36" customHeight="1" x14ac:dyDescent="0.9">
      <c r="A856" s="173">
        <v>1</v>
      </c>
      <c r="B856" s="91">
        <f>SUBTOTAL(103,$A$546:A856)</f>
        <v>289</v>
      </c>
      <c r="C856" s="90" t="s">
        <v>130</v>
      </c>
      <c r="D856" s="185">
        <v>1975</v>
      </c>
      <c r="E856" s="185"/>
      <c r="F856" s="191" t="s">
        <v>273</v>
      </c>
      <c r="G856" s="185">
        <v>2</v>
      </c>
      <c r="H856" s="185">
        <v>2</v>
      </c>
      <c r="I856" s="186">
        <v>786.44</v>
      </c>
      <c r="J856" s="186">
        <v>726.3</v>
      </c>
      <c r="K856" s="186">
        <v>726.3</v>
      </c>
      <c r="L856" s="187">
        <v>27</v>
      </c>
      <c r="M856" s="185" t="s">
        <v>271</v>
      </c>
      <c r="N856" s="185" t="s">
        <v>275</v>
      </c>
      <c r="O856" s="188" t="s">
        <v>290</v>
      </c>
      <c r="P856" s="189">
        <v>3350000</v>
      </c>
      <c r="Q856" s="189">
        <v>0</v>
      </c>
      <c r="R856" s="189">
        <v>0</v>
      </c>
      <c r="S856" s="189">
        <f t="shared" si="134"/>
        <v>3350000</v>
      </c>
      <c r="T856" s="189">
        <f t="shared" si="133"/>
        <v>4259.7019480189201</v>
      </c>
      <c r="U856" s="189">
        <f t="shared" si="135"/>
        <v>4448.6623264330401</v>
      </c>
      <c r="V856" s="170">
        <f t="shared" si="125"/>
        <v>188.96037841411999</v>
      </c>
      <c r="W856" s="170"/>
      <c r="X856" s="170"/>
      <c r="Y856" s="173">
        <f t="shared" si="126"/>
        <v>4448.6623264330401</v>
      </c>
      <c r="AA856" s="173">
        <f t="shared" si="127"/>
        <v>670</v>
      </c>
      <c r="AH856" s="173" t="e">
        <f t="shared" si="128"/>
        <v>#N/A</v>
      </c>
      <c r="AS856" s="173" t="e">
        <f t="shared" si="129"/>
        <v>#N/A</v>
      </c>
    </row>
    <row r="857" spans="1:45" s="173" customFormat="1" ht="36" customHeight="1" x14ac:dyDescent="0.9">
      <c r="A857" s="173">
        <v>1</v>
      </c>
      <c r="B857" s="91">
        <f>SUBTOTAL(103,$A$546:A857)</f>
        <v>290</v>
      </c>
      <c r="C857" s="90" t="s">
        <v>128</v>
      </c>
      <c r="D857" s="185">
        <v>1972</v>
      </c>
      <c r="E857" s="185"/>
      <c r="F857" s="191" t="s">
        <v>273</v>
      </c>
      <c r="G857" s="185">
        <v>2</v>
      </c>
      <c r="H857" s="185">
        <v>2</v>
      </c>
      <c r="I857" s="186">
        <v>669.61</v>
      </c>
      <c r="J857" s="186">
        <v>621.29</v>
      </c>
      <c r="K857" s="186">
        <v>621.29</v>
      </c>
      <c r="L857" s="187">
        <v>12</v>
      </c>
      <c r="M857" s="185" t="s">
        <v>271</v>
      </c>
      <c r="N857" s="185" t="s">
        <v>275</v>
      </c>
      <c r="O857" s="188" t="s">
        <v>291</v>
      </c>
      <c r="P857" s="189">
        <v>3080600</v>
      </c>
      <c r="Q857" s="189">
        <v>0</v>
      </c>
      <c r="R857" s="189">
        <v>0</v>
      </c>
      <c r="S857" s="189">
        <f t="shared" si="134"/>
        <v>3080600</v>
      </c>
      <c r="T857" s="189">
        <f t="shared" si="133"/>
        <v>4600.5884022042683</v>
      </c>
      <c r="U857" s="189">
        <f t="shared" si="135"/>
        <v>4804.6705037260499</v>
      </c>
      <c r="V857" s="170">
        <f t="shared" si="125"/>
        <v>204.08210152178162</v>
      </c>
      <c r="W857" s="170"/>
      <c r="X857" s="170"/>
      <c r="Y857" s="173">
        <f t="shared" si="126"/>
        <v>4804.6705037260499</v>
      </c>
      <c r="AA857" s="173">
        <f t="shared" si="127"/>
        <v>616.12</v>
      </c>
      <c r="AH857" s="173" t="e">
        <f t="shared" si="128"/>
        <v>#N/A</v>
      </c>
      <c r="AS857" s="173" t="e">
        <f t="shared" si="129"/>
        <v>#N/A</v>
      </c>
    </row>
    <row r="858" spans="1:45" s="173" customFormat="1" ht="36" customHeight="1" x14ac:dyDescent="0.9">
      <c r="A858" s="173">
        <v>1</v>
      </c>
      <c r="B858" s="91">
        <f>SUBTOTAL(103,$A$546:A858)</f>
        <v>291</v>
      </c>
      <c r="C858" s="90" t="s">
        <v>125</v>
      </c>
      <c r="D858" s="185">
        <v>1978</v>
      </c>
      <c r="E858" s="185"/>
      <c r="F858" s="191" t="s">
        <v>293</v>
      </c>
      <c r="G858" s="185">
        <v>5</v>
      </c>
      <c r="H858" s="185">
        <v>4</v>
      </c>
      <c r="I858" s="186">
        <v>4027.2</v>
      </c>
      <c r="J858" s="186">
        <v>3079</v>
      </c>
      <c r="K858" s="186">
        <v>3079</v>
      </c>
      <c r="L858" s="187">
        <v>157</v>
      </c>
      <c r="M858" s="185" t="s">
        <v>271</v>
      </c>
      <c r="N858" s="185" t="s">
        <v>275</v>
      </c>
      <c r="O858" s="188" t="s">
        <v>291</v>
      </c>
      <c r="P858" s="189">
        <v>3404280</v>
      </c>
      <c r="Q858" s="189">
        <v>0</v>
      </c>
      <c r="R858" s="189">
        <v>0</v>
      </c>
      <c r="S858" s="189">
        <f t="shared" si="134"/>
        <v>3404280</v>
      </c>
      <c r="T858" s="189">
        <f t="shared" si="133"/>
        <v>845.32181168057218</v>
      </c>
      <c r="U858" s="189">
        <f t="shared" si="135"/>
        <v>1003.2048718712754</v>
      </c>
      <c r="V858" s="170">
        <f t="shared" si="125"/>
        <v>157.88306019070319</v>
      </c>
      <c r="W858" s="170"/>
      <c r="X858" s="170"/>
      <c r="Y858" s="173">
        <f t="shared" si="126"/>
        <v>1003.2048718712754</v>
      </c>
      <c r="AA858" s="173">
        <f t="shared" si="127"/>
        <v>773.7</v>
      </c>
      <c r="AH858" s="173" t="e">
        <f t="shared" si="128"/>
        <v>#N/A</v>
      </c>
      <c r="AS858" s="173" t="e">
        <f t="shared" si="129"/>
        <v>#N/A</v>
      </c>
    </row>
    <row r="859" spans="1:45" s="173" customFormat="1" ht="36" customHeight="1" x14ac:dyDescent="0.9">
      <c r="A859" s="173">
        <v>1</v>
      </c>
      <c r="B859" s="91">
        <f>SUBTOTAL(103,$A$546:A859)</f>
        <v>292</v>
      </c>
      <c r="C859" s="90" t="s">
        <v>126</v>
      </c>
      <c r="D859" s="185">
        <v>1986</v>
      </c>
      <c r="E859" s="185"/>
      <c r="F859" s="191" t="s">
        <v>273</v>
      </c>
      <c r="G859" s="185">
        <v>5</v>
      </c>
      <c r="H859" s="185">
        <v>1</v>
      </c>
      <c r="I859" s="186">
        <v>3459.92</v>
      </c>
      <c r="J859" s="186">
        <v>2342</v>
      </c>
      <c r="K859" s="186">
        <v>2342</v>
      </c>
      <c r="L859" s="187">
        <v>145</v>
      </c>
      <c r="M859" s="185" t="s">
        <v>271</v>
      </c>
      <c r="N859" s="185" t="s">
        <v>275</v>
      </c>
      <c r="O859" s="188" t="s">
        <v>291</v>
      </c>
      <c r="P859" s="189">
        <v>4675000</v>
      </c>
      <c r="Q859" s="189">
        <v>0</v>
      </c>
      <c r="R859" s="189">
        <v>0</v>
      </c>
      <c r="S859" s="189">
        <f t="shared" si="134"/>
        <v>4675000</v>
      </c>
      <c r="T859" s="189">
        <f t="shared" si="133"/>
        <v>1351.1873106892645</v>
      </c>
      <c r="U859" s="189">
        <f t="shared" si="135"/>
        <v>1411.1259797914402</v>
      </c>
      <c r="V859" s="170">
        <f t="shared" ref="V859:V931" si="136">U859-T859</f>
        <v>59.938669102175709</v>
      </c>
      <c r="W859" s="170"/>
      <c r="X859" s="170"/>
      <c r="Y859" s="173">
        <f t="shared" ref="Y859:Y931" si="137">AA859*5221.8/I859</f>
        <v>1411.1259797914402</v>
      </c>
      <c r="AA859" s="173">
        <f t="shared" si="127"/>
        <v>935</v>
      </c>
      <c r="AH859" s="173" t="e">
        <f t="shared" si="128"/>
        <v>#N/A</v>
      </c>
      <c r="AS859" s="173" t="e">
        <f t="shared" si="129"/>
        <v>#N/A</v>
      </c>
    </row>
    <row r="860" spans="1:45" s="173" customFormat="1" ht="36" customHeight="1" x14ac:dyDescent="0.9">
      <c r="A860" s="173">
        <v>1</v>
      </c>
      <c r="B860" s="91">
        <f>SUBTOTAL(103,$A$546:A860)</f>
        <v>293</v>
      </c>
      <c r="C860" s="90" t="s">
        <v>131</v>
      </c>
      <c r="D860" s="185">
        <v>1978</v>
      </c>
      <c r="E860" s="185"/>
      <c r="F860" s="191" t="s">
        <v>273</v>
      </c>
      <c r="G860" s="185">
        <v>3</v>
      </c>
      <c r="H860" s="185">
        <v>3</v>
      </c>
      <c r="I860" s="186">
        <v>1582.3</v>
      </c>
      <c r="J860" s="186">
        <v>1471.8</v>
      </c>
      <c r="K860" s="186">
        <v>1471.8</v>
      </c>
      <c r="L860" s="187">
        <v>69</v>
      </c>
      <c r="M860" s="185" t="s">
        <v>271</v>
      </c>
      <c r="N860" s="185" t="s">
        <v>275</v>
      </c>
      <c r="O860" s="188" t="s">
        <v>291</v>
      </c>
      <c r="P860" s="189">
        <v>3259960</v>
      </c>
      <c r="Q860" s="189">
        <v>0</v>
      </c>
      <c r="R860" s="189">
        <v>0</v>
      </c>
      <c r="S860" s="189">
        <f t="shared" si="134"/>
        <v>3259960</v>
      </c>
      <c r="T860" s="189">
        <f t="shared" si="133"/>
        <v>2060.2667003728748</v>
      </c>
      <c r="U860" s="189">
        <f t="shared" si="135"/>
        <v>2445.0683309106998</v>
      </c>
      <c r="V860" s="170">
        <f t="shared" si="136"/>
        <v>384.80163053782508</v>
      </c>
      <c r="W860" s="170"/>
      <c r="X860" s="170"/>
      <c r="Y860" s="173">
        <f t="shared" si="137"/>
        <v>2445.0683309106998</v>
      </c>
      <c r="AA860" s="173">
        <f t="shared" ref="AA860:AA923" si="138">VLOOKUP(C860,AC:AE,2,FALSE)</f>
        <v>740.9</v>
      </c>
      <c r="AH860" s="173" t="e">
        <f t="shared" ref="AH860:AH923" si="139">VLOOKUP(C860,AJ:AK,2,FALSE)</f>
        <v>#N/A</v>
      </c>
      <c r="AS860" s="173" t="e">
        <f t="shared" ref="AS860:AS923" si="140">VLOOKUP(C860,AU:AV,2,FALSE)</f>
        <v>#N/A</v>
      </c>
    </row>
    <row r="861" spans="1:45" s="173" customFormat="1" ht="36" customHeight="1" x14ac:dyDescent="0.9">
      <c r="B861" s="90" t="s">
        <v>861</v>
      </c>
      <c r="C861" s="192"/>
      <c r="D861" s="185" t="s">
        <v>915</v>
      </c>
      <c r="E861" s="185" t="s">
        <v>915</v>
      </c>
      <c r="F861" s="185" t="s">
        <v>915</v>
      </c>
      <c r="G861" s="185" t="s">
        <v>915</v>
      </c>
      <c r="H861" s="185" t="s">
        <v>915</v>
      </c>
      <c r="I861" s="186">
        <f>I862</f>
        <v>791.5</v>
      </c>
      <c r="J861" s="186">
        <f>J862</f>
        <v>725.1</v>
      </c>
      <c r="K861" s="186">
        <f>K862</f>
        <v>725.1</v>
      </c>
      <c r="L861" s="187">
        <f>L862</f>
        <v>42</v>
      </c>
      <c r="M861" s="185" t="s">
        <v>915</v>
      </c>
      <c r="N861" s="185" t="s">
        <v>915</v>
      </c>
      <c r="O861" s="188" t="s">
        <v>915</v>
      </c>
      <c r="P861" s="189">
        <v>3328825.5</v>
      </c>
      <c r="Q861" s="189">
        <f>Q862</f>
        <v>0</v>
      </c>
      <c r="R861" s="189">
        <f>R862</f>
        <v>0</v>
      </c>
      <c r="S861" s="189">
        <f>S862</f>
        <v>3328825.5</v>
      </c>
      <c r="T861" s="189">
        <f t="shared" si="133"/>
        <v>4205.7176247631078</v>
      </c>
      <c r="U861" s="189">
        <f>U862</f>
        <v>4288.2754264055593</v>
      </c>
      <c r="V861" s="170">
        <f t="shared" si="136"/>
        <v>82.557801642451523</v>
      </c>
      <c r="W861" s="170"/>
      <c r="X861" s="170"/>
      <c r="Y861" s="173" t="e">
        <f t="shared" si="137"/>
        <v>#N/A</v>
      </c>
      <c r="AA861" s="173" t="e">
        <f t="shared" si="138"/>
        <v>#N/A</v>
      </c>
      <c r="AH861" s="173" t="e">
        <f t="shared" si="139"/>
        <v>#N/A</v>
      </c>
      <c r="AS861" s="173" t="e">
        <f t="shared" si="140"/>
        <v>#N/A</v>
      </c>
    </row>
    <row r="862" spans="1:45" s="173" customFormat="1" ht="36" customHeight="1" x14ac:dyDescent="0.9">
      <c r="A862" s="173">
        <v>1</v>
      </c>
      <c r="B862" s="91">
        <f>SUBTOTAL(103,$A$546:A862)</f>
        <v>294</v>
      </c>
      <c r="C862" s="90" t="s">
        <v>180</v>
      </c>
      <c r="D862" s="185">
        <v>1968</v>
      </c>
      <c r="E862" s="185">
        <v>2009</v>
      </c>
      <c r="F862" s="191" t="s">
        <v>273</v>
      </c>
      <c r="G862" s="185">
        <v>2</v>
      </c>
      <c r="H862" s="185">
        <v>2</v>
      </c>
      <c r="I862" s="186">
        <v>791.5</v>
      </c>
      <c r="J862" s="186">
        <v>725.1</v>
      </c>
      <c r="K862" s="186">
        <v>725.1</v>
      </c>
      <c r="L862" s="187">
        <v>42</v>
      </c>
      <c r="M862" s="185" t="s">
        <v>271</v>
      </c>
      <c r="N862" s="185" t="s">
        <v>272</v>
      </c>
      <c r="O862" s="188" t="s">
        <v>274</v>
      </c>
      <c r="P862" s="189">
        <v>3328825.5</v>
      </c>
      <c r="Q862" s="189">
        <v>0</v>
      </c>
      <c r="R862" s="189">
        <v>0</v>
      </c>
      <c r="S862" s="189">
        <f>P862-Q862-R862</f>
        <v>3328825.5</v>
      </c>
      <c r="T862" s="189">
        <f t="shared" si="133"/>
        <v>4205.7176247631078</v>
      </c>
      <c r="U862" s="189">
        <f>Y862</f>
        <v>4288.2754264055593</v>
      </c>
      <c r="V862" s="170">
        <f t="shared" si="136"/>
        <v>82.557801642451523</v>
      </c>
      <c r="W862" s="170"/>
      <c r="X862" s="170"/>
      <c r="Y862" s="173">
        <f t="shared" si="137"/>
        <v>4288.2754264055593</v>
      </c>
      <c r="AA862" s="173">
        <f t="shared" si="138"/>
        <v>650</v>
      </c>
      <c r="AH862" s="173" t="e">
        <f t="shared" si="139"/>
        <v>#N/A</v>
      </c>
      <c r="AS862" s="173" t="e">
        <f t="shared" si="140"/>
        <v>#N/A</v>
      </c>
    </row>
    <row r="863" spans="1:45" s="173" customFormat="1" ht="36" customHeight="1" x14ac:dyDescent="0.9">
      <c r="B863" s="90" t="s">
        <v>860</v>
      </c>
      <c r="C863" s="90"/>
      <c r="D863" s="185" t="s">
        <v>915</v>
      </c>
      <c r="E863" s="185" t="s">
        <v>915</v>
      </c>
      <c r="F863" s="185" t="s">
        <v>915</v>
      </c>
      <c r="G863" s="185" t="s">
        <v>915</v>
      </c>
      <c r="H863" s="185" t="s">
        <v>915</v>
      </c>
      <c r="I863" s="186">
        <f>I864+I865</f>
        <v>910.90000000000009</v>
      </c>
      <c r="J863" s="186">
        <f>J864+J865</f>
        <v>796.59999999999991</v>
      </c>
      <c r="K863" s="186">
        <f>K864+K865</f>
        <v>753.7</v>
      </c>
      <c r="L863" s="187">
        <f>L864+L865</f>
        <v>39</v>
      </c>
      <c r="M863" s="185" t="s">
        <v>915</v>
      </c>
      <c r="N863" s="185" t="s">
        <v>915</v>
      </c>
      <c r="O863" s="188" t="s">
        <v>915</v>
      </c>
      <c r="P863" s="189">
        <v>5279138.41</v>
      </c>
      <c r="Q863" s="189">
        <f>Q864+Q865</f>
        <v>0</v>
      </c>
      <c r="R863" s="189">
        <f>R864+R865</f>
        <v>0</v>
      </c>
      <c r="S863" s="189">
        <f>S864+S865</f>
        <v>5279138.41</v>
      </c>
      <c r="T863" s="189">
        <f t="shared" si="133"/>
        <v>5795.5191678559659</v>
      </c>
      <c r="U863" s="189">
        <f>MAX(U864:U865)</f>
        <v>7190.7367408906875</v>
      </c>
      <c r="V863" s="170">
        <f t="shared" si="136"/>
        <v>1395.2175730347217</v>
      </c>
      <c r="W863" s="170"/>
      <c r="X863" s="170"/>
      <c r="Y863" s="173" t="e">
        <f t="shared" si="137"/>
        <v>#N/A</v>
      </c>
      <c r="AA863" s="173" t="e">
        <f t="shared" si="138"/>
        <v>#N/A</v>
      </c>
      <c r="AH863" s="173" t="e">
        <f t="shared" si="139"/>
        <v>#N/A</v>
      </c>
      <c r="AS863" s="173" t="e">
        <f t="shared" si="140"/>
        <v>#N/A</v>
      </c>
    </row>
    <row r="864" spans="1:45" s="173" customFormat="1" ht="36" customHeight="1" x14ac:dyDescent="0.9">
      <c r="A864" s="173">
        <v>1</v>
      </c>
      <c r="B864" s="91">
        <f>SUBTOTAL(103,$A$546:A864)</f>
        <v>295</v>
      </c>
      <c r="C864" s="90" t="s">
        <v>178</v>
      </c>
      <c r="D864" s="185">
        <v>1955</v>
      </c>
      <c r="E864" s="185"/>
      <c r="F864" s="191" t="s">
        <v>273</v>
      </c>
      <c r="G864" s="185">
        <v>2</v>
      </c>
      <c r="H864" s="185">
        <v>2</v>
      </c>
      <c r="I864" s="186">
        <v>451.8</v>
      </c>
      <c r="J864" s="186">
        <v>395.2</v>
      </c>
      <c r="K864" s="186">
        <v>395.2</v>
      </c>
      <c r="L864" s="187">
        <v>16</v>
      </c>
      <c r="M864" s="185" t="s">
        <v>271</v>
      </c>
      <c r="N864" s="185" t="s">
        <v>345</v>
      </c>
      <c r="O864" s="188" t="s">
        <v>347</v>
      </c>
      <c r="P864" s="189">
        <v>2721526.66</v>
      </c>
      <c r="Q864" s="189">
        <v>0</v>
      </c>
      <c r="R864" s="189">
        <v>0</v>
      </c>
      <c r="S864" s="189">
        <f>P864-Q864-R864</f>
        <v>2721526.66</v>
      </c>
      <c r="T864" s="189">
        <f t="shared" si="133"/>
        <v>6023.7420540061976</v>
      </c>
      <c r="U864" s="189">
        <f>AG864</f>
        <v>7190.7367408906875</v>
      </c>
      <c r="V864" s="170">
        <f t="shared" si="136"/>
        <v>1166.99468688449</v>
      </c>
      <c r="W864" s="170"/>
      <c r="X864" s="170"/>
      <c r="Y864" s="173" t="e">
        <f t="shared" si="137"/>
        <v>#N/A</v>
      </c>
      <c r="AA864" s="173" t="e">
        <f t="shared" si="138"/>
        <v>#N/A</v>
      </c>
      <c r="AG864" s="173">
        <f>AH864*6191.24/J864</f>
        <v>7190.7367408906875</v>
      </c>
      <c r="AH864" s="173">
        <f t="shared" si="139"/>
        <v>459</v>
      </c>
      <c r="AS864" s="173" t="e">
        <f t="shared" si="140"/>
        <v>#N/A</v>
      </c>
    </row>
    <row r="865" spans="1:45" s="173" customFormat="1" ht="36" customHeight="1" x14ac:dyDescent="0.9">
      <c r="A865" s="173">
        <v>1</v>
      </c>
      <c r="B865" s="91">
        <f>SUBTOTAL(103,$A$546:A865)</f>
        <v>296</v>
      </c>
      <c r="C865" s="90" t="s">
        <v>179</v>
      </c>
      <c r="D865" s="185">
        <v>1956</v>
      </c>
      <c r="E865" s="185">
        <v>2010</v>
      </c>
      <c r="F865" s="191" t="s">
        <v>273</v>
      </c>
      <c r="G865" s="185">
        <v>2</v>
      </c>
      <c r="H865" s="185">
        <v>2</v>
      </c>
      <c r="I865" s="186">
        <v>459.1</v>
      </c>
      <c r="J865" s="186">
        <v>401.4</v>
      </c>
      <c r="K865" s="186">
        <v>358.5</v>
      </c>
      <c r="L865" s="187">
        <v>23</v>
      </c>
      <c r="M865" s="185" t="s">
        <v>271</v>
      </c>
      <c r="N865" s="185" t="s">
        <v>345</v>
      </c>
      <c r="O865" s="188" t="s">
        <v>347</v>
      </c>
      <c r="P865" s="189">
        <v>2557611.75</v>
      </c>
      <c r="Q865" s="189">
        <v>0</v>
      </c>
      <c r="R865" s="189">
        <v>0</v>
      </c>
      <c r="S865" s="189">
        <f>P865-Q865-R865</f>
        <v>2557611.75</v>
      </c>
      <c r="T865" s="189">
        <f t="shared" si="133"/>
        <v>5570.9251796994113</v>
      </c>
      <c r="U865" s="189">
        <f>AG865</f>
        <v>6562.9611858495273</v>
      </c>
      <c r="V865" s="170">
        <f t="shared" si="136"/>
        <v>992.03600615011601</v>
      </c>
      <c r="W865" s="170"/>
      <c r="X865" s="170"/>
      <c r="Y865" s="173" t="e">
        <f t="shared" si="137"/>
        <v>#N/A</v>
      </c>
      <c r="AA865" s="173" t="e">
        <f t="shared" si="138"/>
        <v>#N/A</v>
      </c>
      <c r="AG865" s="173">
        <f>AH865*6191.24/J865</f>
        <v>6562.9611858495273</v>
      </c>
      <c r="AH865" s="173">
        <f t="shared" si="139"/>
        <v>425.5</v>
      </c>
      <c r="AS865" s="173" t="e">
        <f t="shared" si="140"/>
        <v>#N/A</v>
      </c>
    </row>
    <row r="866" spans="1:45" s="173" customFormat="1" ht="36" customHeight="1" x14ac:dyDescent="0.9">
      <c r="B866" s="90" t="s">
        <v>896</v>
      </c>
      <c r="C866" s="90"/>
      <c r="D866" s="185" t="s">
        <v>915</v>
      </c>
      <c r="E866" s="185" t="s">
        <v>915</v>
      </c>
      <c r="F866" s="185" t="s">
        <v>915</v>
      </c>
      <c r="G866" s="185" t="s">
        <v>915</v>
      </c>
      <c r="H866" s="185" t="s">
        <v>915</v>
      </c>
      <c r="I866" s="186">
        <f>I867</f>
        <v>960.39</v>
      </c>
      <c r="J866" s="186">
        <f>J867</f>
        <v>880.42</v>
      </c>
      <c r="K866" s="186">
        <f>K867</f>
        <v>880.42</v>
      </c>
      <c r="L866" s="187">
        <f>L867</f>
        <v>48</v>
      </c>
      <c r="M866" s="185" t="s">
        <v>915</v>
      </c>
      <c r="N866" s="185" t="s">
        <v>915</v>
      </c>
      <c r="O866" s="188" t="s">
        <v>915</v>
      </c>
      <c r="P866" s="189">
        <v>4178956.32</v>
      </c>
      <c r="Q866" s="189">
        <f>Q867</f>
        <v>0</v>
      </c>
      <c r="R866" s="189">
        <f>R867</f>
        <v>0</v>
      </c>
      <c r="S866" s="189">
        <f>S867</f>
        <v>4178956.32</v>
      </c>
      <c r="T866" s="189">
        <f t="shared" si="133"/>
        <v>4351.3117795895414</v>
      </c>
      <c r="U866" s="189">
        <f>U867</f>
        <v>4436.7275794208599</v>
      </c>
      <c r="V866" s="170">
        <f t="shared" si="136"/>
        <v>85.415799831318509</v>
      </c>
      <c r="W866" s="170"/>
      <c r="X866" s="170"/>
      <c r="Y866" s="173" t="e">
        <f t="shared" si="137"/>
        <v>#N/A</v>
      </c>
      <c r="AA866" s="173" t="e">
        <f t="shared" si="138"/>
        <v>#N/A</v>
      </c>
      <c r="AH866" s="173" t="e">
        <f t="shared" si="139"/>
        <v>#N/A</v>
      </c>
      <c r="AS866" s="173" t="e">
        <f t="shared" si="140"/>
        <v>#N/A</v>
      </c>
    </row>
    <row r="867" spans="1:45" s="173" customFormat="1" ht="36" customHeight="1" x14ac:dyDescent="0.9">
      <c r="A867" s="173">
        <v>1</v>
      </c>
      <c r="B867" s="91">
        <f>SUBTOTAL(103,$A$546:A867)</f>
        <v>297</v>
      </c>
      <c r="C867" s="90" t="s">
        <v>177</v>
      </c>
      <c r="D867" s="185">
        <v>1969</v>
      </c>
      <c r="E867" s="185"/>
      <c r="F867" s="191" t="s">
        <v>273</v>
      </c>
      <c r="G867" s="185">
        <v>2</v>
      </c>
      <c r="H867" s="185">
        <v>3</v>
      </c>
      <c r="I867" s="186">
        <v>960.39</v>
      </c>
      <c r="J867" s="186">
        <v>880.42</v>
      </c>
      <c r="K867" s="186">
        <v>880.42</v>
      </c>
      <c r="L867" s="187">
        <v>48</v>
      </c>
      <c r="M867" s="185" t="s">
        <v>271</v>
      </c>
      <c r="N867" s="185" t="s">
        <v>345</v>
      </c>
      <c r="O867" s="188" t="s">
        <v>346</v>
      </c>
      <c r="P867" s="189">
        <v>4178956.32</v>
      </c>
      <c r="Q867" s="189">
        <v>0</v>
      </c>
      <c r="R867" s="189">
        <v>0</v>
      </c>
      <c r="S867" s="189">
        <f>P867-Q867-R867</f>
        <v>4178956.32</v>
      </c>
      <c r="T867" s="189">
        <f t="shared" si="133"/>
        <v>4351.3117795895414</v>
      </c>
      <c r="U867" s="189">
        <f>Y867</f>
        <v>4436.7275794208599</v>
      </c>
      <c r="V867" s="170">
        <f t="shared" si="136"/>
        <v>85.415799831318509</v>
      </c>
      <c r="W867" s="170"/>
      <c r="X867" s="170"/>
      <c r="Y867" s="173">
        <f t="shared" si="137"/>
        <v>4436.7275794208599</v>
      </c>
      <c r="AA867" s="173">
        <f t="shared" si="138"/>
        <v>816</v>
      </c>
      <c r="AH867" s="173" t="e">
        <f t="shared" si="139"/>
        <v>#N/A</v>
      </c>
      <c r="AS867" s="173" t="e">
        <f t="shared" si="140"/>
        <v>#N/A</v>
      </c>
    </row>
    <row r="868" spans="1:45" s="173" customFormat="1" ht="36" customHeight="1" x14ac:dyDescent="0.9">
      <c r="B868" s="90" t="s">
        <v>862</v>
      </c>
      <c r="C868" s="90"/>
      <c r="D868" s="185" t="s">
        <v>915</v>
      </c>
      <c r="E868" s="185" t="s">
        <v>915</v>
      </c>
      <c r="F868" s="185" t="s">
        <v>915</v>
      </c>
      <c r="G868" s="185" t="s">
        <v>915</v>
      </c>
      <c r="H868" s="185" t="s">
        <v>915</v>
      </c>
      <c r="I868" s="186">
        <f>I869</f>
        <v>388.8</v>
      </c>
      <c r="J868" s="186">
        <f>J869</f>
        <v>354.2</v>
      </c>
      <c r="K868" s="186">
        <f>K869</f>
        <v>354.2</v>
      </c>
      <c r="L868" s="187">
        <f>L869</f>
        <v>14</v>
      </c>
      <c r="M868" s="185" t="s">
        <v>915</v>
      </c>
      <c r="N868" s="185" t="s">
        <v>915</v>
      </c>
      <c r="O868" s="188" t="s">
        <v>915</v>
      </c>
      <c r="P868" s="189">
        <v>1889236.5</v>
      </c>
      <c r="Q868" s="189">
        <f>Q869</f>
        <v>0</v>
      </c>
      <c r="R868" s="189">
        <f>R869</f>
        <v>0</v>
      </c>
      <c r="S868" s="189">
        <f>S869</f>
        <v>1889236.5</v>
      </c>
      <c r="T868" s="189">
        <f t="shared" si="133"/>
        <v>4859.1473765432102</v>
      </c>
      <c r="U868" s="189">
        <f>U869</f>
        <v>4954.531944444444</v>
      </c>
      <c r="V868" s="170">
        <f t="shared" si="136"/>
        <v>95.384567901233822</v>
      </c>
      <c r="W868" s="170"/>
      <c r="X868" s="170"/>
      <c r="Y868" s="173" t="e">
        <f t="shared" si="137"/>
        <v>#N/A</v>
      </c>
      <c r="AA868" s="173" t="e">
        <f t="shared" si="138"/>
        <v>#N/A</v>
      </c>
      <c r="AH868" s="173" t="e">
        <f t="shared" si="139"/>
        <v>#N/A</v>
      </c>
      <c r="AS868" s="173" t="e">
        <f t="shared" si="140"/>
        <v>#N/A</v>
      </c>
    </row>
    <row r="869" spans="1:45" s="173" customFormat="1" ht="36" customHeight="1" x14ac:dyDescent="0.9">
      <c r="A869" s="173">
        <v>1</v>
      </c>
      <c r="B869" s="91">
        <f>SUBTOTAL(103,$A$546:A869)</f>
        <v>298</v>
      </c>
      <c r="C869" s="90" t="s">
        <v>176</v>
      </c>
      <c r="D869" s="185">
        <v>1969</v>
      </c>
      <c r="E869" s="185"/>
      <c r="F869" s="191" t="s">
        <v>273</v>
      </c>
      <c r="G869" s="185">
        <v>2</v>
      </c>
      <c r="H869" s="185">
        <v>1</v>
      </c>
      <c r="I869" s="186">
        <v>388.8</v>
      </c>
      <c r="J869" s="186">
        <v>354.2</v>
      </c>
      <c r="K869" s="186">
        <v>354.2</v>
      </c>
      <c r="L869" s="187">
        <v>14</v>
      </c>
      <c r="M869" s="185" t="s">
        <v>271</v>
      </c>
      <c r="N869" s="185" t="s">
        <v>345</v>
      </c>
      <c r="O869" s="188" t="s">
        <v>346</v>
      </c>
      <c r="P869" s="189">
        <v>1889236.5</v>
      </c>
      <c r="Q869" s="189">
        <v>0</v>
      </c>
      <c r="R869" s="189">
        <v>0</v>
      </c>
      <c r="S869" s="189">
        <f>P869-Q869-R869</f>
        <v>1889236.5</v>
      </c>
      <c r="T869" s="189">
        <f t="shared" si="133"/>
        <v>4859.1473765432102</v>
      </c>
      <c r="U869" s="189">
        <f>Y869</f>
        <v>4954.531944444444</v>
      </c>
      <c r="V869" s="170">
        <f t="shared" si="136"/>
        <v>95.384567901233822</v>
      </c>
      <c r="W869" s="170"/>
      <c r="X869" s="170"/>
      <c r="Y869" s="173">
        <f t="shared" si="137"/>
        <v>4954.531944444444</v>
      </c>
      <c r="AA869" s="173">
        <f t="shared" si="138"/>
        <v>368.9</v>
      </c>
      <c r="AH869" s="173" t="e">
        <f t="shared" si="139"/>
        <v>#N/A</v>
      </c>
      <c r="AS869" s="173" t="e">
        <f t="shared" si="140"/>
        <v>#N/A</v>
      </c>
    </row>
    <row r="870" spans="1:45" s="173" customFormat="1" ht="36" customHeight="1" x14ac:dyDescent="0.9">
      <c r="B870" s="90" t="s">
        <v>863</v>
      </c>
      <c r="C870" s="192"/>
      <c r="D870" s="185" t="s">
        <v>915</v>
      </c>
      <c r="E870" s="185" t="s">
        <v>915</v>
      </c>
      <c r="F870" s="185" t="s">
        <v>915</v>
      </c>
      <c r="G870" s="185" t="s">
        <v>915</v>
      </c>
      <c r="H870" s="185" t="s">
        <v>915</v>
      </c>
      <c r="I870" s="186">
        <f>SUM(I871:I875)</f>
        <v>3104.9</v>
      </c>
      <c r="J870" s="186">
        <f>SUM(J871:J875)</f>
        <v>2420.3000000000002</v>
      </c>
      <c r="K870" s="186">
        <f>SUM(K871:K875)</f>
        <v>2199.1999999999998</v>
      </c>
      <c r="L870" s="187">
        <f>SUM(L871:L875)</f>
        <v>119</v>
      </c>
      <c r="M870" s="185" t="s">
        <v>915</v>
      </c>
      <c r="N870" s="185" t="s">
        <v>915</v>
      </c>
      <c r="O870" s="188" t="s">
        <v>915</v>
      </c>
      <c r="P870" s="189">
        <v>14950249.880000001</v>
      </c>
      <c r="Q870" s="189">
        <f>SUM(Q871:Q875)</f>
        <v>0</v>
      </c>
      <c r="R870" s="189">
        <f>SUM(R871:R875)</f>
        <v>0</v>
      </c>
      <c r="S870" s="189">
        <f>SUM(S871:S875)</f>
        <v>14950249.880000001</v>
      </c>
      <c r="T870" s="189">
        <f t="shared" si="133"/>
        <v>4815.0503655512257</v>
      </c>
      <c r="U870" s="189">
        <f>MAX(U871:U875)</f>
        <v>6814.7507026419344</v>
      </c>
      <c r="V870" s="170">
        <f t="shared" si="136"/>
        <v>1999.7003370907087</v>
      </c>
      <c r="W870" s="170"/>
      <c r="X870" s="170"/>
      <c r="Y870" s="173" t="e">
        <f t="shared" si="137"/>
        <v>#N/A</v>
      </c>
      <c r="AA870" s="173" t="e">
        <f t="shared" si="138"/>
        <v>#N/A</v>
      </c>
      <c r="AH870" s="173" t="e">
        <f t="shared" si="139"/>
        <v>#N/A</v>
      </c>
      <c r="AS870" s="173" t="e">
        <f t="shared" si="140"/>
        <v>#N/A</v>
      </c>
    </row>
    <row r="871" spans="1:45" s="173" customFormat="1" ht="36" customHeight="1" x14ac:dyDescent="0.9">
      <c r="A871" s="173">
        <v>1</v>
      </c>
      <c r="B871" s="91">
        <f>SUBTOTAL(103,$A$546:A871)</f>
        <v>299</v>
      </c>
      <c r="C871" s="90" t="s">
        <v>1726</v>
      </c>
      <c r="D871" s="185">
        <v>1982</v>
      </c>
      <c r="E871" s="185"/>
      <c r="F871" s="191" t="s">
        <v>326</v>
      </c>
      <c r="G871" s="185">
        <v>2</v>
      </c>
      <c r="H871" s="185">
        <v>2</v>
      </c>
      <c r="I871" s="186">
        <v>626.1</v>
      </c>
      <c r="J871" s="186">
        <v>566.6</v>
      </c>
      <c r="K871" s="186">
        <v>566.6</v>
      </c>
      <c r="L871" s="187">
        <v>21</v>
      </c>
      <c r="M871" s="185" t="s">
        <v>271</v>
      </c>
      <c r="N871" s="185" t="s">
        <v>272</v>
      </c>
      <c r="O871" s="188" t="s">
        <v>274</v>
      </c>
      <c r="P871" s="189">
        <v>2958681.4299999997</v>
      </c>
      <c r="Q871" s="189">
        <v>0</v>
      </c>
      <c r="R871" s="189">
        <v>0</v>
      </c>
      <c r="S871" s="189">
        <f>P871-Q871-R871</f>
        <v>2958681.4299999997</v>
      </c>
      <c r="T871" s="189">
        <f t="shared" si="133"/>
        <v>4725.5732790289085</v>
      </c>
      <c r="U871" s="189">
        <v>4725.5732790289085</v>
      </c>
      <c r="V871" s="170">
        <f t="shared" si="136"/>
        <v>0</v>
      </c>
      <c r="W871" s="170"/>
      <c r="X871" s="170"/>
      <c r="Y871" s="173" t="e">
        <f t="shared" si="137"/>
        <v>#N/A</v>
      </c>
      <c r="AA871" s="173" t="e">
        <f t="shared" si="138"/>
        <v>#N/A</v>
      </c>
      <c r="AH871" s="173" t="e">
        <f t="shared" si="139"/>
        <v>#N/A</v>
      </c>
      <c r="AS871" s="173" t="e">
        <f t="shared" si="140"/>
        <v>#N/A</v>
      </c>
    </row>
    <row r="872" spans="1:45" s="173" customFormat="1" ht="36" customHeight="1" x14ac:dyDescent="0.9">
      <c r="A872" s="173">
        <v>1</v>
      </c>
      <c r="B872" s="91">
        <f>SUBTOTAL(103,$A$546:A872)</f>
        <v>300</v>
      </c>
      <c r="C872" s="90" t="s">
        <v>80</v>
      </c>
      <c r="D872" s="185">
        <v>1962</v>
      </c>
      <c r="E872" s="185"/>
      <c r="F872" s="191" t="s">
        <v>273</v>
      </c>
      <c r="G872" s="185">
        <v>2</v>
      </c>
      <c r="H872" s="185">
        <v>2</v>
      </c>
      <c r="I872" s="186">
        <v>355.8</v>
      </c>
      <c r="J872" s="186">
        <v>212</v>
      </c>
      <c r="K872" s="186">
        <v>212</v>
      </c>
      <c r="L872" s="187">
        <v>21</v>
      </c>
      <c r="M872" s="185" t="s">
        <v>271</v>
      </c>
      <c r="N872" s="185" t="s">
        <v>272</v>
      </c>
      <c r="O872" s="188" t="s">
        <v>274</v>
      </c>
      <c r="P872" s="189">
        <v>2424688.3000000003</v>
      </c>
      <c r="Q872" s="189">
        <v>0</v>
      </c>
      <c r="R872" s="189">
        <v>0</v>
      </c>
      <c r="S872" s="189">
        <f>P872-Q872-R872</f>
        <v>2424688.3000000003</v>
      </c>
      <c r="T872" s="189">
        <f t="shared" si="133"/>
        <v>6814.7507026419344</v>
      </c>
      <c r="U872" s="189">
        <f t="shared" ref="U872:U880" si="141">T872</f>
        <v>6814.7507026419344</v>
      </c>
      <c r="V872" s="170">
        <f t="shared" si="136"/>
        <v>0</v>
      </c>
      <c r="W872" s="170"/>
      <c r="X872" s="170"/>
      <c r="Y872" s="173">
        <f t="shared" si="137"/>
        <v>6310.7757166947722</v>
      </c>
      <c r="AA872" s="173">
        <f t="shared" si="138"/>
        <v>430</v>
      </c>
      <c r="AH872" s="173" t="e">
        <f t="shared" si="139"/>
        <v>#N/A</v>
      </c>
      <c r="AS872" s="173" t="e">
        <f t="shared" si="140"/>
        <v>#N/A</v>
      </c>
    </row>
    <row r="873" spans="1:45" s="173" customFormat="1" ht="36" customHeight="1" x14ac:dyDescent="0.9">
      <c r="A873" s="173">
        <v>1</v>
      </c>
      <c r="B873" s="91">
        <f>SUBTOTAL(103,$A$546:A873)</f>
        <v>301</v>
      </c>
      <c r="C873" s="90" t="s">
        <v>81</v>
      </c>
      <c r="D873" s="185">
        <v>1964</v>
      </c>
      <c r="E873" s="185"/>
      <c r="F873" s="191" t="s">
        <v>273</v>
      </c>
      <c r="G873" s="185">
        <v>2</v>
      </c>
      <c r="H873" s="185">
        <v>2</v>
      </c>
      <c r="I873" s="186">
        <v>651.6</v>
      </c>
      <c r="J873" s="186">
        <v>412</v>
      </c>
      <c r="K873" s="186">
        <v>385</v>
      </c>
      <c r="L873" s="187">
        <v>42</v>
      </c>
      <c r="M873" s="185" t="s">
        <v>271</v>
      </c>
      <c r="N873" s="185" t="s">
        <v>272</v>
      </c>
      <c r="O873" s="188" t="s">
        <v>274</v>
      </c>
      <c r="P873" s="189">
        <v>2424688.3000000003</v>
      </c>
      <c r="Q873" s="189">
        <v>0</v>
      </c>
      <c r="R873" s="189">
        <v>0</v>
      </c>
      <c r="S873" s="189">
        <f>P873-Q873-R873</f>
        <v>2424688.3000000003</v>
      </c>
      <c r="T873" s="189">
        <f t="shared" si="133"/>
        <v>3721.1299877225297</v>
      </c>
      <c r="U873" s="189">
        <f t="shared" si="141"/>
        <v>3721.1299877225297</v>
      </c>
      <c r="V873" s="170">
        <f t="shared" si="136"/>
        <v>0</v>
      </c>
      <c r="W873" s="170"/>
      <c r="X873" s="170"/>
      <c r="Y873" s="173">
        <f t="shared" si="137"/>
        <v>3445.9392265193369</v>
      </c>
      <c r="AA873" s="173">
        <f t="shared" si="138"/>
        <v>430</v>
      </c>
      <c r="AH873" s="173" t="e">
        <f t="shared" si="139"/>
        <v>#N/A</v>
      </c>
      <c r="AS873" s="173" t="e">
        <f t="shared" si="140"/>
        <v>#N/A</v>
      </c>
    </row>
    <row r="874" spans="1:45" s="173" customFormat="1" ht="36" customHeight="1" x14ac:dyDescent="0.9">
      <c r="A874" s="173">
        <v>1</v>
      </c>
      <c r="B874" s="91">
        <f>SUBTOTAL(103,$A$546:A874)</f>
        <v>302</v>
      </c>
      <c r="C874" s="90" t="s">
        <v>78</v>
      </c>
      <c r="D874" s="185">
        <v>1929</v>
      </c>
      <c r="E874" s="185"/>
      <c r="F874" s="191" t="s">
        <v>273</v>
      </c>
      <c r="G874" s="185">
        <v>3</v>
      </c>
      <c r="H874" s="185">
        <v>1</v>
      </c>
      <c r="I874" s="186">
        <v>475.3</v>
      </c>
      <c r="J874" s="186">
        <v>295</v>
      </c>
      <c r="K874" s="186">
        <v>253</v>
      </c>
      <c r="L874" s="187">
        <v>5</v>
      </c>
      <c r="M874" s="185" t="s">
        <v>271</v>
      </c>
      <c r="N874" s="185" t="s">
        <v>272</v>
      </c>
      <c r="O874" s="188" t="s">
        <v>274</v>
      </c>
      <c r="P874" s="189">
        <v>2170941.85</v>
      </c>
      <c r="Q874" s="189">
        <v>0</v>
      </c>
      <c r="R874" s="189">
        <v>0</v>
      </c>
      <c r="S874" s="189">
        <f>P874-Q874-R874</f>
        <v>2170941.85</v>
      </c>
      <c r="T874" s="189">
        <f t="shared" si="133"/>
        <v>4567.5191458026511</v>
      </c>
      <c r="U874" s="189">
        <f t="shared" si="141"/>
        <v>4567.5191458026511</v>
      </c>
      <c r="V874" s="170">
        <f t="shared" si="136"/>
        <v>0</v>
      </c>
      <c r="W874" s="170"/>
      <c r="X874" s="170"/>
      <c r="Y874" s="173">
        <f t="shared" si="137"/>
        <v>4229.7349042709866</v>
      </c>
      <c r="AA874" s="173">
        <f t="shared" si="138"/>
        <v>385</v>
      </c>
      <c r="AH874" s="173" t="e">
        <f t="shared" si="139"/>
        <v>#N/A</v>
      </c>
      <c r="AS874" s="173" t="e">
        <f t="shared" si="140"/>
        <v>#N/A</v>
      </c>
    </row>
    <row r="875" spans="1:45" s="173" customFormat="1" ht="36" customHeight="1" x14ac:dyDescent="0.9">
      <c r="A875" s="173">
        <v>1</v>
      </c>
      <c r="B875" s="91">
        <f>SUBTOTAL(103,$A$546:A875)</f>
        <v>303</v>
      </c>
      <c r="C875" s="90" t="s">
        <v>1725</v>
      </c>
      <c r="D875" s="185">
        <v>1953</v>
      </c>
      <c r="E875" s="185"/>
      <c r="F875" s="191" t="s">
        <v>273</v>
      </c>
      <c r="G875" s="185">
        <v>2</v>
      </c>
      <c r="H875" s="185">
        <v>3</v>
      </c>
      <c r="I875" s="186">
        <v>996.1</v>
      </c>
      <c r="J875" s="186">
        <v>934.7</v>
      </c>
      <c r="K875" s="186">
        <v>782.6</v>
      </c>
      <c r="L875" s="187">
        <v>30</v>
      </c>
      <c r="M875" s="185" t="s">
        <v>271</v>
      </c>
      <c r="N875" s="185" t="s">
        <v>272</v>
      </c>
      <c r="O875" s="188" t="s">
        <v>274</v>
      </c>
      <c r="P875" s="189">
        <v>4971250</v>
      </c>
      <c r="Q875" s="189">
        <v>0</v>
      </c>
      <c r="R875" s="189">
        <v>0</v>
      </c>
      <c r="S875" s="189">
        <f>P875-Q875-R875</f>
        <v>4971250</v>
      </c>
      <c r="T875" s="189">
        <f t="shared" si="133"/>
        <v>4990.7137837566506</v>
      </c>
      <c r="U875" s="189">
        <f t="shared" si="141"/>
        <v>4990.7137837566506</v>
      </c>
      <c r="V875" s="170">
        <f t="shared" si="136"/>
        <v>0</v>
      </c>
      <c r="W875" s="170"/>
      <c r="X875" s="170"/>
      <c r="Y875" s="173" t="e">
        <f t="shared" si="137"/>
        <v>#N/A</v>
      </c>
      <c r="AA875" s="173" t="e">
        <f t="shared" si="138"/>
        <v>#N/A</v>
      </c>
      <c r="AH875" s="173" t="e">
        <f t="shared" si="139"/>
        <v>#N/A</v>
      </c>
      <c r="AS875" s="173" t="e">
        <f t="shared" si="140"/>
        <v>#N/A</v>
      </c>
    </row>
    <row r="876" spans="1:45" s="173" customFormat="1" ht="36" customHeight="1" x14ac:dyDescent="0.9">
      <c r="B876" s="90" t="s">
        <v>897</v>
      </c>
      <c r="C876" s="90"/>
      <c r="D876" s="185" t="s">
        <v>915</v>
      </c>
      <c r="E876" s="185" t="s">
        <v>915</v>
      </c>
      <c r="F876" s="185" t="s">
        <v>915</v>
      </c>
      <c r="G876" s="185" t="s">
        <v>915</v>
      </c>
      <c r="H876" s="185" t="s">
        <v>915</v>
      </c>
      <c r="I876" s="186">
        <f>SUM(I877:I878)</f>
        <v>530.5</v>
      </c>
      <c r="J876" s="186">
        <f>SUM(J877:J878)</f>
        <v>481.3</v>
      </c>
      <c r="K876" s="186">
        <f>SUM(K877:K878)</f>
        <v>481.3</v>
      </c>
      <c r="L876" s="187">
        <f>SUM(L877:L878)</f>
        <v>25</v>
      </c>
      <c r="M876" s="185" t="s">
        <v>915</v>
      </c>
      <c r="N876" s="185" t="s">
        <v>915</v>
      </c>
      <c r="O876" s="188" t="s">
        <v>915</v>
      </c>
      <c r="P876" s="189">
        <v>2766932.97</v>
      </c>
      <c r="Q876" s="189">
        <f>Q877+Q878</f>
        <v>0</v>
      </c>
      <c r="R876" s="189">
        <f>R877+R878</f>
        <v>0</v>
      </c>
      <c r="S876" s="189">
        <f>S877+S878</f>
        <v>2766932.97</v>
      </c>
      <c r="T876" s="189">
        <f t="shared" si="133"/>
        <v>5215.7077662582469</v>
      </c>
      <c r="U876" s="189">
        <f t="shared" si="141"/>
        <v>5215.7077662582469</v>
      </c>
      <c r="V876" s="170">
        <f t="shared" si="136"/>
        <v>0</v>
      </c>
      <c r="W876" s="170"/>
      <c r="X876" s="170"/>
      <c r="Y876" s="173" t="e">
        <f t="shared" si="137"/>
        <v>#N/A</v>
      </c>
      <c r="AA876" s="173" t="e">
        <f t="shared" si="138"/>
        <v>#N/A</v>
      </c>
      <c r="AH876" s="173" t="e">
        <f t="shared" si="139"/>
        <v>#N/A</v>
      </c>
      <c r="AS876" s="173" t="e">
        <f t="shared" si="140"/>
        <v>#N/A</v>
      </c>
    </row>
    <row r="877" spans="1:45" s="173" customFormat="1" ht="36" customHeight="1" x14ac:dyDescent="0.9">
      <c r="A877" s="173">
        <v>1</v>
      </c>
      <c r="B877" s="91">
        <f>SUBTOTAL(103,$A$546:A877)</f>
        <v>304</v>
      </c>
      <c r="C877" s="90" t="s">
        <v>82</v>
      </c>
      <c r="D877" s="185">
        <v>1931</v>
      </c>
      <c r="E877" s="185"/>
      <c r="F877" s="191" t="s">
        <v>273</v>
      </c>
      <c r="G877" s="185">
        <v>2</v>
      </c>
      <c r="H877" s="185">
        <v>1</v>
      </c>
      <c r="I877" s="186">
        <v>320</v>
      </c>
      <c r="J877" s="186">
        <v>297</v>
      </c>
      <c r="K877" s="186">
        <v>297</v>
      </c>
      <c r="L877" s="187">
        <v>16</v>
      </c>
      <c r="M877" s="185" t="s">
        <v>271</v>
      </c>
      <c r="N877" s="185" t="s">
        <v>272</v>
      </c>
      <c r="O877" s="188" t="s">
        <v>274</v>
      </c>
      <c r="P877" s="189">
        <v>1818947.37</v>
      </c>
      <c r="Q877" s="189">
        <v>0</v>
      </c>
      <c r="R877" s="189">
        <v>0</v>
      </c>
      <c r="S877" s="189">
        <f>P877-Q877-R877</f>
        <v>1818947.37</v>
      </c>
      <c r="T877" s="189">
        <f t="shared" si="133"/>
        <v>5684.2105312500007</v>
      </c>
      <c r="U877" s="189">
        <f t="shared" si="141"/>
        <v>5684.2105312500007</v>
      </c>
      <c r="V877" s="170">
        <f t="shared" si="136"/>
        <v>0</v>
      </c>
      <c r="W877" s="170"/>
      <c r="X877" s="170"/>
      <c r="Y877" s="173">
        <f t="shared" si="137"/>
        <v>5009.6643750000003</v>
      </c>
      <c r="AA877" s="173">
        <f t="shared" si="138"/>
        <v>307</v>
      </c>
      <c r="AH877" s="173" t="e">
        <f t="shared" si="139"/>
        <v>#N/A</v>
      </c>
      <c r="AS877" s="173" t="e">
        <f t="shared" si="140"/>
        <v>#N/A</v>
      </c>
    </row>
    <row r="878" spans="1:45" s="173" customFormat="1" ht="36" customHeight="1" x14ac:dyDescent="0.9">
      <c r="A878" s="173">
        <v>1</v>
      </c>
      <c r="B878" s="91">
        <f>SUBTOTAL(103,$A$546:A878)</f>
        <v>305</v>
      </c>
      <c r="C878" s="90" t="s">
        <v>83</v>
      </c>
      <c r="D878" s="185">
        <v>1965</v>
      </c>
      <c r="E878" s="185"/>
      <c r="F878" s="191" t="s">
        <v>273</v>
      </c>
      <c r="G878" s="185">
        <v>2</v>
      </c>
      <c r="H878" s="185">
        <v>1</v>
      </c>
      <c r="I878" s="186">
        <v>210.5</v>
      </c>
      <c r="J878" s="186">
        <v>184.3</v>
      </c>
      <c r="K878" s="186">
        <v>184.3</v>
      </c>
      <c r="L878" s="187">
        <v>9</v>
      </c>
      <c r="M878" s="185" t="s">
        <v>271</v>
      </c>
      <c r="N878" s="185" t="s">
        <v>275</v>
      </c>
      <c r="O878" s="188" t="s">
        <v>285</v>
      </c>
      <c r="P878" s="189">
        <v>947985.6</v>
      </c>
      <c r="Q878" s="189">
        <v>0</v>
      </c>
      <c r="R878" s="189">
        <v>0</v>
      </c>
      <c r="S878" s="189">
        <f>P878-Q878-R878</f>
        <v>947985.6</v>
      </c>
      <c r="T878" s="189">
        <f t="shared" si="133"/>
        <v>4503.494536817102</v>
      </c>
      <c r="U878" s="189">
        <f t="shared" si="141"/>
        <v>4503.494536817102</v>
      </c>
      <c r="V878" s="170">
        <f t="shared" si="136"/>
        <v>0</v>
      </c>
      <c r="W878" s="170"/>
      <c r="X878" s="170"/>
      <c r="Y878" s="173">
        <f t="shared" si="137"/>
        <v>3969.0641330166272</v>
      </c>
      <c r="AA878" s="173">
        <f t="shared" si="138"/>
        <v>160</v>
      </c>
      <c r="AH878" s="173" t="e">
        <f t="shared" si="139"/>
        <v>#N/A</v>
      </c>
      <c r="AS878" s="173" t="e">
        <f t="shared" si="140"/>
        <v>#N/A</v>
      </c>
    </row>
    <row r="879" spans="1:45" s="173" customFormat="1" ht="36" customHeight="1" x14ac:dyDescent="0.9">
      <c r="B879" s="90" t="s">
        <v>898</v>
      </c>
      <c r="C879" s="90"/>
      <c r="D879" s="185" t="s">
        <v>915</v>
      </c>
      <c r="E879" s="185" t="s">
        <v>915</v>
      </c>
      <c r="F879" s="185" t="s">
        <v>915</v>
      </c>
      <c r="G879" s="185" t="s">
        <v>915</v>
      </c>
      <c r="H879" s="185" t="s">
        <v>915</v>
      </c>
      <c r="I879" s="186">
        <f>I880</f>
        <v>654.5</v>
      </c>
      <c r="J879" s="186">
        <f>J880</f>
        <v>614.5</v>
      </c>
      <c r="K879" s="186">
        <f>K880</f>
        <v>614.5</v>
      </c>
      <c r="L879" s="187">
        <f>L880</f>
        <v>19</v>
      </c>
      <c r="M879" s="185" t="s">
        <v>915</v>
      </c>
      <c r="N879" s="185" t="s">
        <v>915</v>
      </c>
      <c r="O879" s="188" t="s">
        <v>915</v>
      </c>
      <c r="P879" s="189">
        <v>2568179.12</v>
      </c>
      <c r="Q879" s="189">
        <f>Q880</f>
        <v>0</v>
      </c>
      <c r="R879" s="189">
        <f>R880</f>
        <v>0</v>
      </c>
      <c r="S879" s="189">
        <f>S880</f>
        <v>2568179.12</v>
      </c>
      <c r="T879" s="189">
        <f t="shared" si="133"/>
        <v>3923.8794805194807</v>
      </c>
      <c r="U879" s="189">
        <f t="shared" si="141"/>
        <v>3923.8794805194807</v>
      </c>
      <c r="V879" s="170">
        <f t="shared" si="136"/>
        <v>0</v>
      </c>
      <c r="W879" s="170"/>
      <c r="X879" s="170"/>
      <c r="Y879" s="173" t="e">
        <f t="shared" si="137"/>
        <v>#N/A</v>
      </c>
      <c r="AA879" s="173" t="e">
        <f t="shared" si="138"/>
        <v>#N/A</v>
      </c>
      <c r="AH879" s="173" t="e">
        <f t="shared" si="139"/>
        <v>#N/A</v>
      </c>
      <c r="AS879" s="173" t="e">
        <f t="shared" si="140"/>
        <v>#N/A</v>
      </c>
    </row>
    <row r="880" spans="1:45" s="173" customFormat="1" ht="36" customHeight="1" x14ac:dyDescent="0.9">
      <c r="A880" s="173">
        <v>1</v>
      </c>
      <c r="B880" s="91">
        <f>SUBTOTAL(103,$A$546:A880)</f>
        <v>306</v>
      </c>
      <c r="C880" s="90" t="s">
        <v>84</v>
      </c>
      <c r="D880" s="185">
        <v>1964</v>
      </c>
      <c r="E880" s="185"/>
      <c r="F880" s="191" t="s">
        <v>273</v>
      </c>
      <c r="G880" s="185">
        <v>2</v>
      </c>
      <c r="H880" s="185">
        <v>2</v>
      </c>
      <c r="I880" s="186">
        <v>654.5</v>
      </c>
      <c r="J880" s="186">
        <v>614.5</v>
      </c>
      <c r="K880" s="186">
        <v>614.5</v>
      </c>
      <c r="L880" s="187">
        <v>19</v>
      </c>
      <c r="M880" s="185" t="s">
        <v>271</v>
      </c>
      <c r="N880" s="185" t="s">
        <v>272</v>
      </c>
      <c r="O880" s="188" t="s">
        <v>274</v>
      </c>
      <c r="P880" s="189">
        <v>2568179.12</v>
      </c>
      <c r="Q880" s="189">
        <v>0</v>
      </c>
      <c r="R880" s="189">
        <v>0</v>
      </c>
      <c r="S880" s="189">
        <f>P880-Q880-R880</f>
        <v>2568179.12</v>
      </c>
      <c r="T880" s="189">
        <f t="shared" si="133"/>
        <v>3923.8794805194807</v>
      </c>
      <c r="U880" s="189">
        <f t="shared" si="141"/>
        <v>3923.8794805194807</v>
      </c>
      <c r="V880" s="170">
        <f t="shared" si="136"/>
        <v>0</v>
      </c>
      <c r="W880" s="170"/>
      <c r="X880" s="170"/>
      <c r="Y880" s="173">
        <f t="shared" si="137"/>
        <v>3186.7739862490453</v>
      </c>
      <c r="AA880" s="173">
        <f t="shared" si="138"/>
        <v>399.43</v>
      </c>
      <c r="AH880" s="173" t="e">
        <f t="shared" si="139"/>
        <v>#N/A</v>
      </c>
      <c r="AS880" s="173" t="e">
        <f t="shared" si="140"/>
        <v>#N/A</v>
      </c>
    </row>
    <row r="881" spans="1:45" s="173" customFormat="1" ht="36" customHeight="1" x14ac:dyDescent="0.9">
      <c r="B881" s="90" t="s">
        <v>865</v>
      </c>
      <c r="C881" s="192"/>
      <c r="D881" s="185" t="s">
        <v>915</v>
      </c>
      <c r="E881" s="185" t="s">
        <v>915</v>
      </c>
      <c r="F881" s="185" t="s">
        <v>915</v>
      </c>
      <c r="G881" s="185" t="s">
        <v>915</v>
      </c>
      <c r="H881" s="185" t="s">
        <v>915</v>
      </c>
      <c r="I881" s="186">
        <f>I882</f>
        <v>1244.4000000000001</v>
      </c>
      <c r="J881" s="186">
        <f>J882</f>
        <v>727.8</v>
      </c>
      <c r="K881" s="186">
        <f>K882</f>
        <v>584.79999999999995</v>
      </c>
      <c r="L881" s="187">
        <f>L882</f>
        <v>34</v>
      </c>
      <c r="M881" s="185" t="s">
        <v>915</v>
      </c>
      <c r="N881" s="185" t="s">
        <v>915</v>
      </c>
      <c r="O881" s="188" t="s">
        <v>915</v>
      </c>
      <c r="P881" s="189">
        <v>2981647.8</v>
      </c>
      <c r="Q881" s="189">
        <f>Q882</f>
        <v>0</v>
      </c>
      <c r="R881" s="189">
        <f>R882</f>
        <v>0</v>
      </c>
      <c r="S881" s="189">
        <f>S882</f>
        <v>2981647.8</v>
      </c>
      <c r="T881" s="189">
        <f t="shared" si="133"/>
        <v>2396.0525554484084</v>
      </c>
      <c r="U881" s="189">
        <f>U882</f>
        <v>2396.0525554484088</v>
      </c>
      <c r="V881" s="170">
        <f t="shared" si="136"/>
        <v>0</v>
      </c>
      <c r="W881" s="170"/>
      <c r="X881" s="170"/>
      <c r="Y881" s="173" t="e">
        <f t="shared" si="137"/>
        <v>#N/A</v>
      </c>
      <c r="AA881" s="173" t="e">
        <f t="shared" si="138"/>
        <v>#N/A</v>
      </c>
      <c r="AH881" s="173" t="e">
        <f t="shared" si="139"/>
        <v>#N/A</v>
      </c>
      <c r="AS881" s="173" t="e">
        <f t="shared" si="140"/>
        <v>#N/A</v>
      </c>
    </row>
    <row r="882" spans="1:45" s="173" customFormat="1" ht="36" customHeight="1" x14ac:dyDescent="0.9">
      <c r="A882" s="173">
        <v>1</v>
      </c>
      <c r="B882" s="91">
        <f>SUBTOTAL(103,$A$546:A882)</f>
        <v>307</v>
      </c>
      <c r="C882" s="90" t="s">
        <v>107</v>
      </c>
      <c r="D882" s="185">
        <v>1975</v>
      </c>
      <c r="E882" s="185"/>
      <c r="F882" s="191" t="s">
        <v>273</v>
      </c>
      <c r="G882" s="185">
        <v>2</v>
      </c>
      <c r="H882" s="185">
        <v>2</v>
      </c>
      <c r="I882" s="186">
        <v>1244.4000000000001</v>
      </c>
      <c r="J882" s="186">
        <v>727.8</v>
      </c>
      <c r="K882" s="186">
        <v>584.79999999999995</v>
      </c>
      <c r="L882" s="187">
        <v>34</v>
      </c>
      <c r="M882" s="185" t="s">
        <v>271</v>
      </c>
      <c r="N882" s="185" t="s">
        <v>272</v>
      </c>
      <c r="O882" s="188" t="s">
        <v>274</v>
      </c>
      <c r="P882" s="189">
        <v>2981647.8</v>
      </c>
      <c r="Q882" s="189">
        <v>0</v>
      </c>
      <c r="R882" s="189">
        <v>0</v>
      </c>
      <c r="S882" s="189">
        <f>P882-Q882-R882</f>
        <v>2981647.8</v>
      </c>
      <c r="T882" s="189">
        <f t="shared" si="133"/>
        <v>2396.0525554484084</v>
      </c>
      <c r="U882" s="189">
        <f>Y882</f>
        <v>2396.0525554484088</v>
      </c>
      <c r="V882" s="170">
        <f t="shared" si="136"/>
        <v>0</v>
      </c>
      <c r="W882" s="170"/>
      <c r="X882" s="170"/>
      <c r="Y882" s="173">
        <f t="shared" si="137"/>
        <v>2396.0525554484088</v>
      </c>
      <c r="AA882" s="173">
        <f t="shared" si="138"/>
        <v>571</v>
      </c>
      <c r="AH882" s="173" t="e">
        <f t="shared" si="139"/>
        <v>#N/A</v>
      </c>
      <c r="AS882" s="173" t="e">
        <f t="shared" si="140"/>
        <v>#N/A</v>
      </c>
    </row>
    <row r="883" spans="1:45" s="173" customFormat="1" ht="36" customHeight="1" x14ac:dyDescent="0.9">
      <c r="B883" s="90" t="s">
        <v>899</v>
      </c>
      <c r="C883" s="90"/>
      <c r="D883" s="185" t="s">
        <v>915</v>
      </c>
      <c r="E883" s="185" t="s">
        <v>915</v>
      </c>
      <c r="F883" s="185" t="s">
        <v>915</v>
      </c>
      <c r="G883" s="185" t="s">
        <v>915</v>
      </c>
      <c r="H883" s="185" t="s">
        <v>915</v>
      </c>
      <c r="I883" s="186">
        <f>I884</f>
        <v>948.2</v>
      </c>
      <c r="J883" s="186">
        <f>J884</f>
        <v>849.8</v>
      </c>
      <c r="K883" s="186">
        <f>K884</f>
        <v>803.9</v>
      </c>
      <c r="L883" s="187">
        <f>L884</f>
        <v>43</v>
      </c>
      <c r="M883" s="185" t="s">
        <v>915</v>
      </c>
      <c r="N883" s="185" t="s">
        <v>915</v>
      </c>
      <c r="O883" s="188" t="s">
        <v>915</v>
      </c>
      <c r="P883" s="189">
        <v>4290230.8800000008</v>
      </c>
      <c r="Q883" s="189">
        <f>Q884</f>
        <v>0</v>
      </c>
      <c r="R883" s="189">
        <f>R884</f>
        <v>0</v>
      </c>
      <c r="S883" s="189">
        <f>S884</f>
        <v>4290230.8800000008</v>
      </c>
      <c r="T883" s="189">
        <f t="shared" si="133"/>
        <v>4524.6054418898975</v>
      </c>
      <c r="U883" s="189">
        <f>U884</f>
        <v>4524.6054418898966</v>
      </c>
      <c r="V883" s="170">
        <f t="shared" si="136"/>
        <v>0</v>
      </c>
      <c r="W883" s="170"/>
      <c r="X883" s="170"/>
      <c r="Y883" s="173" t="e">
        <f t="shared" si="137"/>
        <v>#N/A</v>
      </c>
      <c r="AA883" s="173" t="e">
        <f t="shared" si="138"/>
        <v>#N/A</v>
      </c>
      <c r="AH883" s="173" t="e">
        <f t="shared" si="139"/>
        <v>#N/A</v>
      </c>
      <c r="AS883" s="173" t="e">
        <f t="shared" si="140"/>
        <v>#N/A</v>
      </c>
    </row>
    <row r="884" spans="1:45" s="173" customFormat="1" ht="36" customHeight="1" x14ac:dyDescent="0.9">
      <c r="A884" s="173">
        <v>1</v>
      </c>
      <c r="B884" s="91">
        <f>SUBTOTAL(103,$A$546:A884)</f>
        <v>308</v>
      </c>
      <c r="C884" s="90" t="s">
        <v>113</v>
      </c>
      <c r="D884" s="185">
        <v>1978</v>
      </c>
      <c r="E884" s="185"/>
      <c r="F884" s="191" t="s">
        <v>273</v>
      </c>
      <c r="G884" s="185">
        <v>2</v>
      </c>
      <c r="H884" s="185">
        <v>3</v>
      </c>
      <c r="I884" s="186">
        <v>948.2</v>
      </c>
      <c r="J884" s="186">
        <v>849.8</v>
      </c>
      <c r="K884" s="186">
        <v>803.9</v>
      </c>
      <c r="L884" s="187">
        <v>43</v>
      </c>
      <c r="M884" s="185" t="s">
        <v>271</v>
      </c>
      <c r="N884" s="185" t="s">
        <v>272</v>
      </c>
      <c r="O884" s="188" t="s">
        <v>274</v>
      </c>
      <c r="P884" s="189">
        <v>4290230.8800000008</v>
      </c>
      <c r="Q884" s="189">
        <v>0</v>
      </c>
      <c r="R884" s="189">
        <v>0</v>
      </c>
      <c r="S884" s="189">
        <f>P884-Q884-R884</f>
        <v>4290230.8800000008</v>
      </c>
      <c r="T884" s="189">
        <f t="shared" si="133"/>
        <v>4524.6054418898975</v>
      </c>
      <c r="U884" s="189">
        <f>Y884</f>
        <v>4524.6054418898966</v>
      </c>
      <c r="V884" s="170">
        <f t="shared" si="136"/>
        <v>0</v>
      </c>
      <c r="W884" s="170"/>
      <c r="X884" s="170"/>
      <c r="Y884" s="173">
        <f t="shared" si="137"/>
        <v>4524.6054418898966</v>
      </c>
      <c r="AA884" s="173">
        <f t="shared" si="138"/>
        <v>821.6</v>
      </c>
      <c r="AH884" s="173" t="e">
        <f t="shared" si="139"/>
        <v>#N/A</v>
      </c>
      <c r="AS884" s="173" t="e">
        <f t="shared" si="140"/>
        <v>#N/A</v>
      </c>
    </row>
    <row r="885" spans="1:45" s="173" customFormat="1" ht="36" customHeight="1" x14ac:dyDescent="0.9">
      <c r="B885" s="90" t="s">
        <v>900</v>
      </c>
      <c r="C885" s="90"/>
      <c r="D885" s="185" t="s">
        <v>915</v>
      </c>
      <c r="E885" s="185" t="s">
        <v>915</v>
      </c>
      <c r="F885" s="185" t="s">
        <v>915</v>
      </c>
      <c r="G885" s="185" t="s">
        <v>915</v>
      </c>
      <c r="H885" s="185" t="s">
        <v>915</v>
      </c>
      <c r="I885" s="186">
        <f>I886</f>
        <v>779.2</v>
      </c>
      <c r="J885" s="186">
        <f>J886</f>
        <v>720.2</v>
      </c>
      <c r="K885" s="186">
        <f>K886</f>
        <v>720.2</v>
      </c>
      <c r="L885" s="187">
        <f>L886</f>
        <v>33</v>
      </c>
      <c r="M885" s="185" t="s">
        <v>915</v>
      </c>
      <c r="N885" s="185" t="s">
        <v>915</v>
      </c>
      <c r="O885" s="188" t="s">
        <v>915</v>
      </c>
      <c r="P885" s="189">
        <v>2903320.8000000003</v>
      </c>
      <c r="Q885" s="189">
        <f>Q886</f>
        <v>0</v>
      </c>
      <c r="R885" s="189">
        <f>R886</f>
        <v>0</v>
      </c>
      <c r="S885" s="189">
        <f>S886</f>
        <v>2903320.8000000003</v>
      </c>
      <c r="T885" s="189">
        <f t="shared" si="133"/>
        <v>3726.0277207392201</v>
      </c>
      <c r="U885" s="189">
        <f>U886</f>
        <v>3726.0277207392201</v>
      </c>
      <c r="V885" s="170">
        <f t="shared" si="136"/>
        <v>0</v>
      </c>
      <c r="W885" s="170"/>
      <c r="X885" s="170"/>
      <c r="Y885" s="173" t="e">
        <f t="shared" si="137"/>
        <v>#N/A</v>
      </c>
      <c r="AA885" s="173" t="e">
        <f t="shared" si="138"/>
        <v>#N/A</v>
      </c>
      <c r="AH885" s="173" t="e">
        <f t="shared" si="139"/>
        <v>#N/A</v>
      </c>
      <c r="AS885" s="173" t="e">
        <f t="shared" si="140"/>
        <v>#N/A</v>
      </c>
    </row>
    <row r="886" spans="1:45" s="173" customFormat="1" ht="36" customHeight="1" x14ac:dyDescent="0.9">
      <c r="A886" s="173">
        <v>1</v>
      </c>
      <c r="B886" s="91">
        <f>SUBTOTAL(103,$A$546:A886)</f>
        <v>309</v>
      </c>
      <c r="C886" s="90" t="s">
        <v>112</v>
      </c>
      <c r="D886" s="185">
        <v>1974</v>
      </c>
      <c r="E886" s="185"/>
      <c r="F886" s="191" t="s">
        <v>273</v>
      </c>
      <c r="G886" s="185">
        <v>2</v>
      </c>
      <c r="H886" s="185">
        <v>2</v>
      </c>
      <c r="I886" s="186">
        <v>779.2</v>
      </c>
      <c r="J886" s="186">
        <v>720.2</v>
      </c>
      <c r="K886" s="186">
        <v>720.2</v>
      </c>
      <c r="L886" s="187">
        <v>33</v>
      </c>
      <c r="M886" s="185" t="s">
        <v>271</v>
      </c>
      <c r="N886" s="185" t="s">
        <v>272</v>
      </c>
      <c r="O886" s="188" t="s">
        <v>274</v>
      </c>
      <c r="P886" s="189">
        <v>2903320.8000000003</v>
      </c>
      <c r="Q886" s="189">
        <v>0</v>
      </c>
      <c r="R886" s="189">
        <v>0</v>
      </c>
      <c r="S886" s="189">
        <f>P886-Q886-R886</f>
        <v>2903320.8000000003</v>
      </c>
      <c r="T886" s="189">
        <f t="shared" si="133"/>
        <v>3726.0277207392201</v>
      </c>
      <c r="U886" s="189">
        <f>Y886</f>
        <v>3726.0277207392201</v>
      </c>
      <c r="V886" s="170">
        <f t="shared" si="136"/>
        <v>0</v>
      </c>
      <c r="W886" s="170"/>
      <c r="X886" s="170"/>
      <c r="Y886" s="173">
        <f t="shared" si="137"/>
        <v>3726.0277207392201</v>
      </c>
      <c r="AA886" s="173">
        <f t="shared" si="138"/>
        <v>556</v>
      </c>
      <c r="AH886" s="173" t="e">
        <f t="shared" si="139"/>
        <v>#N/A</v>
      </c>
      <c r="AS886" s="173" t="e">
        <f t="shared" si="140"/>
        <v>#N/A</v>
      </c>
    </row>
    <row r="887" spans="1:45" s="173" customFormat="1" ht="36" customHeight="1" x14ac:dyDescent="0.9">
      <c r="B887" s="90" t="s">
        <v>866</v>
      </c>
      <c r="C887" s="192"/>
      <c r="D887" s="185" t="s">
        <v>915</v>
      </c>
      <c r="E887" s="185" t="s">
        <v>915</v>
      </c>
      <c r="F887" s="185" t="s">
        <v>915</v>
      </c>
      <c r="G887" s="185" t="s">
        <v>915</v>
      </c>
      <c r="H887" s="185" t="s">
        <v>915</v>
      </c>
      <c r="I887" s="186">
        <f>I888</f>
        <v>1015.6</v>
      </c>
      <c r="J887" s="186">
        <f>J888</f>
        <v>926.7</v>
      </c>
      <c r="K887" s="186">
        <f>K888</f>
        <v>497.5</v>
      </c>
      <c r="L887" s="187">
        <f>L888</f>
        <v>47</v>
      </c>
      <c r="M887" s="185" t="s">
        <v>915</v>
      </c>
      <c r="N887" s="185" t="s">
        <v>915</v>
      </c>
      <c r="O887" s="188" t="s">
        <v>915</v>
      </c>
      <c r="P887" s="189">
        <v>3826397.3000000003</v>
      </c>
      <c r="Q887" s="189">
        <f>Q888</f>
        <v>0</v>
      </c>
      <c r="R887" s="189">
        <f>R888</f>
        <v>2523423.19</v>
      </c>
      <c r="S887" s="189">
        <f>S888</f>
        <v>1302974.1100000003</v>
      </c>
      <c r="T887" s="189">
        <f t="shared" si="133"/>
        <v>3767.6223907050021</v>
      </c>
      <c r="U887" s="189">
        <f>U888</f>
        <v>4083.9658723907046</v>
      </c>
      <c r="V887" s="170">
        <f t="shared" si="136"/>
        <v>316.3434816857025</v>
      </c>
      <c r="W887" s="170"/>
      <c r="X887" s="170"/>
      <c r="Y887" s="173" t="e">
        <f t="shared" si="137"/>
        <v>#N/A</v>
      </c>
      <c r="AA887" s="173" t="e">
        <f t="shared" si="138"/>
        <v>#N/A</v>
      </c>
      <c r="AH887" s="173" t="e">
        <f t="shared" si="139"/>
        <v>#N/A</v>
      </c>
      <c r="AS887" s="173" t="e">
        <f t="shared" si="140"/>
        <v>#N/A</v>
      </c>
    </row>
    <row r="888" spans="1:45" s="173" customFormat="1" ht="36" customHeight="1" x14ac:dyDescent="0.9">
      <c r="A888" s="173">
        <v>1</v>
      </c>
      <c r="B888" s="91">
        <f>SUBTOTAL(103,$A$546:A888)</f>
        <v>310</v>
      </c>
      <c r="C888" s="90" t="s">
        <v>57</v>
      </c>
      <c r="D888" s="185">
        <v>1972</v>
      </c>
      <c r="E888" s="185"/>
      <c r="F888" s="191" t="s">
        <v>273</v>
      </c>
      <c r="G888" s="185">
        <v>2</v>
      </c>
      <c r="H888" s="185">
        <v>3</v>
      </c>
      <c r="I888" s="186">
        <v>1015.6</v>
      </c>
      <c r="J888" s="186">
        <v>926.7</v>
      </c>
      <c r="K888" s="186">
        <v>497.5</v>
      </c>
      <c r="L888" s="187">
        <v>47</v>
      </c>
      <c r="M888" s="185" t="s">
        <v>271</v>
      </c>
      <c r="N888" s="185" t="s">
        <v>272</v>
      </c>
      <c r="O888" s="188" t="s">
        <v>274</v>
      </c>
      <c r="P888" s="189">
        <v>3826397.3000000003</v>
      </c>
      <c r="Q888" s="189">
        <v>0</v>
      </c>
      <c r="R888" s="189">
        <v>2523423.19</v>
      </c>
      <c r="S888" s="189">
        <f>P888-Q888-R888</f>
        <v>1302974.1100000003</v>
      </c>
      <c r="T888" s="189">
        <f t="shared" si="133"/>
        <v>3767.6223907050021</v>
      </c>
      <c r="U888" s="189">
        <f>Y888</f>
        <v>4083.9658723907046</v>
      </c>
      <c r="V888" s="170">
        <f t="shared" si="136"/>
        <v>316.3434816857025</v>
      </c>
      <c r="W888" s="170"/>
      <c r="X888" s="170"/>
      <c r="Y888" s="173">
        <f t="shared" si="137"/>
        <v>4083.9658723907046</v>
      </c>
      <c r="AA888" s="173">
        <f t="shared" si="138"/>
        <v>794.3</v>
      </c>
      <c r="AH888" s="173" t="e">
        <f t="shared" si="139"/>
        <v>#N/A</v>
      </c>
      <c r="AS888" s="173" t="e">
        <f t="shared" si="140"/>
        <v>#N/A</v>
      </c>
    </row>
    <row r="889" spans="1:45" s="173" customFormat="1" ht="36" customHeight="1" x14ac:dyDescent="0.9">
      <c r="B889" s="90" t="s">
        <v>867</v>
      </c>
      <c r="C889" s="90"/>
      <c r="D889" s="185" t="s">
        <v>915</v>
      </c>
      <c r="E889" s="185" t="s">
        <v>915</v>
      </c>
      <c r="F889" s="185" t="s">
        <v>915</v>
      </c>
      <c r="G889" s="185" t="s">
        <v>915</v>
      </c>
      <c r="H889" s="185" t="s">
        <v>915</v>
      </c>
      <c r="I889" s="186">
        <f>I890</f>
        <v>5979.1</v>
      </c>
      <c r="J889" s="186">
        <f>J890</f>
        <v>5979.1</v>
      </c>
      <c r="K889" s="186">
        <f>K890</f>
        <v>4563.9399999999996</v>
      </c>
      <c r="L889" s="187">
        <f>L890</f>
        <v>217</v>
      </c>
      <c r="M889" s="185" t="s">
        <v>915</v>
      </c>
      <c r="N889" s="185" t="s">
        <v>915</v>
      </c>
      <c r="O889" s="188" t="s">
        <v>915</v>
      </c>
      <c r="P889" s="189">
        <v>5858309.4800000004</v>
      </c>
      <c r="Q889" s="189">
        <f>Q890</f>
        <v>0</v>
      </c>
      <c r="R889" s="189">
        <f>R890</f>
        <v>0</v>
      </c>
      <c r="S889" s="189">
        <f>S890</f>
        <v>5858309.4800000004</v>
      </c>
      <c r="T889" s="189">
        <f t="shared" si="133"/>
        <v>979.79787593450521</v>
      </c>
      <c r="U889" s="189">
        <f>U890</f>
        <v>1376.3872154672108</v>
      </c>
      <c r="V889" s="170">
        <f t="shared" si="136"/>
        <v>396.58933953270559</v>
      </c>
      <c r="W889" s="170"/>
      <c r="X889" s="170"/>
      <c r="Y889" s="173" t="e">
        <f t="shared" si="137"/>
        <v>#N/A</v>
      </c>
      <c r="AA889" s="173" t="e">
        <f t="shared" si="138"/>
        <v>#N/A</v>
      </c>
      <c r="AH889" s="173" t="e">
        <f t="shared" si="139"/>
        <v>#N/A</v>
      </c>
      <c r="AS889" s="173" t="e">
        <f t="shared" si="140"/>
        <v>#N/A</v>
      </c>
    </row>
    <row r="890" spans="1:45" s="173" customFormat="1" ht="36" customHeight="1" x14ac:dyDescent="0.9">
      <c r="A890" s="173">
        <v>1</v>
      </c>
      <c r="B890" s="91">
        <f>SUBTOTAL(103,$A$546:A890)</f>
        <v>311</v>
      </c>
      <c r="C890" s="90" t="s">
        <v>41</v>
      </c>
      <c r="D890" s="185">
        <v>1974</v>
      </c>
      <c r="E890" s="185"/>
      <c r="F890" s="191" t="s">
        <v>273</v>
      </c>
      <c r="G890" s="185">
        <v>5</v>
      </c>
      <c r="H890" s="185">
        <v>6</v>
      </c>
      <c r="I890" s="186">
        <v>5979.1</v>
      </c>
      <c r="J890" s="186">
        <v>5979.1</v>
      </c>
      <c r="K890" s="186">
        <v>4563.9399999999996</v>
      </c>
      <c r="L890" s="187">
        <v>217</v>
      </c>
      <c r="M890" s="185" t="s">
        <v>271</v>
      </c>
      <c r="N890" s="185" t="s">
        <v>275</v>
      </c>
      <c r="O890" s="188" t="s">
        <v>276</v>
      </c>
      <c r="P890" s="189">
        <v>5858309.4800000004</v>
      </c>
      <c r="Q890" s="189">
        <v>0</v>
      </c>
      <c r="R890" s="189">
        <v>0</v>
      </c>
      <c r="S890" s="189">
        <f>P890-Q890-R890</f>
        <v>5858309.4800000004</v>
      </c>
      <c r="T890" s="189">
        <f t="shared" si="133"/>
        <v>979.79787593450521</v>
      </c>
      <c r="U890" s="189">
        <f>Y890</f>
        <v>1376.3872154672108</v>
      </c>
      <c r="V890" s="170">
        <f t="shared" si="136"/>
        <v>396.58933953270559</v>
      </c>
      <c r="W890" s="170"/>
      <c r="X890" s="170"/>
      <c r="Y890" s="173">
        <f t="shared" si="137"/>
        <v>1376.3872154672108</v>
      </c>
      <c r="AA890" s="173">
        <f t="shared" si="138"/>
        <v>1576</v>
      </c>
      <c r="AH890" s="173" t="e">
        <f t="shared" si="139"/>
        <v>#N/A</v>
      </c>
      <c r="AS890" s="173" t="e">
        <f t="shared" si="140"/>
        <v>#N/A</v>
      </c>
    </row>
    <row r="891" spans="1:45" s="173" customFormat="1" ht="36" customHeight="1" x14ac:dyDescent="0.9">
      <c r="B891" s="90" t="s">
        <v>901</v>
      </c>
      <c r="C891" s="90"/>
      <c r="D891" s="185" t="s">
        <v>915</v>
      </c>
      <c r="E891" s="185" t="s">
        <v>915</v>
      </c>
      <c r="F891" s="185" t="s">
        <v>915</v>
      </c>
      <c r="G891" s="185" t="s">
        <v>915</v>
      </c>
      <c r="H891" s="185" t="s">
        <v>915</v>
      </c>
      <c r="I891" s="186">
        <f>I892</f>
        <v>822.2</v>
      </c>
      <c r="J891" s="186">
        <f>J892</f>
        <v>760.8</v>
      </c>
      <c r="K891" s="186">
        <f>K892</f>
        <v>760.8</v>
      </c>
      <c r="L891" s="187">
        <f>L892</f>
        <v>34</v>
      </c>
      <c r="M891" s="185" t="s">
        <v>915</v>
      </c>
      <c r="N891" s="185" t="s">
        <v>915</v>
      </c>
      <c r="O891" s="188" t="s">
        <v>915</v>
      </c>
      <c r="P891" s="189">
        <v>3274450.4</v>
      </c>
      <c r="Q891" s="189">
        <f>Q892</f>
        <v>0</v>
      </c>
      <c r="R891" s="189">
        <f>R892</f>
        <v>0</v>
      </c>
      <c r="S891" s="189">
        <f>S892</f>
        <v>3274450.4</v>
      </c>
      <c r="T891" s="189">
        <f t="shared" si="133"/>
        <v>3982.5473120895158</v>
      </c>
      <c r="U891" s="189">
        <f>T891</f>
        <v>3982.5473120895158</v>
      </c>
      <c r="V891" s="170">
        <f t="shared" si="136"/>
        <v>0</v>
      </c>
      <c r="W891" s="170"/>
      <c r="X891" s="170"/>
      <c r="Y891" s="173" t="e">
        <f t="shared" si="137"/>
        <v>#N/A</v>
      </c>
      <c r="AA891" s="173" t="e">
        <f t="shared" si="138"/>
        <v>#N/A</v>
      </c>
      <c r="AH891" s="173" t="e">
        <f t="shared" si="139"/>
        <v>#N/A</v>
      </c>
      <c r="AS891" s="173" t="e">
        <f t="shared" si="140"/>
        <v>#N/A</v>
      </c>
    </row>
    <row r="892" spans="1:45" s="173" customFormat="1" ht="36" customHeight="1" x14ac:dyDescent="0.9">
      <c r="A892" s="173">
        <v>1</v>
      </c>
      <c r="B892" s="91">
        <f>SUBTOTAL(103,$A$546:A892)</f>
        <v>312</v>
      </c>
      <c r="C892" s="90" t="s">
        <v>55</v>
      </c>
      <c r="D892" s="185">
        <v>1968</v>
      </c>
      <c r="E892" s="185"/>
      <c r="F892" s="191" t="s">
        <v>273</v>
      </c>
      <c r="G892" s="185">
        <v>2</v>
      </c>
      <c r="H892" s="185">
        <v>2</v>
      </c>
      <c r="I892" s="186">
        <v>822.2</v>
      </c>
      <c r="J892" s="186">
        <v>760.8</v>
      </c>
      <c r="K892" s="186">
        <v>760.8</v>
      </c>
      <c r="L892" s="187">
        <v>34</v>
      </c>
      <c r="M892" s="185" t="s">
        <v>271</v>
      </c>
      <c r="N892" s="185" t="s">
        <v>275</v>
      </c>
      <c r="O892" s="188" t="s">
        <v>280</v>
      </c>
      <c r="P892" s="189">
        <v>3274450.4</v>
      </c>
      <c r="Q892" s="189">
        <v>0</v>
      </c>
      <c r="R892" s="189">
        <v>0</v>
      </c>
      <c r="S892" s="189">
        <f>P892-Q892-R892</f>
        <v>3274450.4</v>
      </c>
      <c r="T892" s="189">
        <f t="shared" si="133"/>
        <v>3982.5473120895158</v>
      </c>
      <c r="U892" s="189">
        <f>T892</f>
        <v>3982.5473120895158</v>
      </c>
      <c r="V892" s="170">
        <f t="shared" si="136"/>
        <v>0</v>
      </c>
      <c r="W892" s="170"/>
      <c r="X892" s="170"/>
      <c r="Y892" s="173">
        <f t="shared" si="137"/>
        <v>3872.8455850158107</v>
      </c>
      <c r="AA892" s="173">
        <f t="shared" si="138"/>
        <v>609.79999999999995</v>
      </c>
      <c r="AH892" s="173" t="e">
        <f t="shared" si="139"/>
        <v>#N/A</v>
      </c>
      <c r="AS892" s="173" t="e">
        <f t="shared" si="140"/>
        <v>#N/A</v>
      </c>
    </row>
    <row r="893" spans="1:45" s="173" customFormat="1" ht="36" customHeight="1" x14ac:dyDescent="0.9">
      <c r="B893" s="90" t="s">
        <v>908</v>
      </c>
      <c r="C893" s="90"/>
      <c r="D893" s="185" t="s">
        <v>915</v>
      </c>
      <c r="E893" s="185" t="s">
        <v>915</v>
      </c>
      <c r="F893" s="185" t="s">
        <v>915</v>
      </c>
      <c r="G893" s="185" t="s">
        <v>915</v>
      </c>
      <c r="H893" s="185" t="s">
        <v>915</v>
      </c>
      <c r="I893" s="186">
        <f>I894</f>
        <v>363.9</v>
      </c>
      <c r="J893" s="186">
        <f>J894</f>
        <v>364</v>
      </c>
      <c r="K893" s="186">
        <f>K894</f>
        <v>322</v>
      </c>
      <c r="L893" s="187">
        <f>L894</f>
        <v>18</v>
      </c>
      <c r="M893" s="185" t="s">
        <v>915</v>
      </c>
      <c r="N893" s="185" t="s">
        <v>915</v>
      </c>
      <c r="O893" s="188" t="s">
        <v>915</v>
      </c>
      <c r="P893" s="189">
        <v>3707032</v>
      </c>
      <c r="Q893" s="189">
        <f>Q894</f>
        <v>0</v>
      </c>
      <c r="R893" s="189">
        <f>R894</f>
        <v>0</v>
      </c>
      <c r="S893" s="189">
        <f>S894</f>
        <v>3707032</v>
      </c>
      <c r="T893" s="189">
        <f t="shared" si="133"/>
        <v>10186.952459466887</v>
      </c>
      <c r="U893" s="189">
        <f>T893</f>
        <v>10186.952459466887</v>
      </c>
      <c r="V893" s="170">
        <f t="shared" si="136"/>
        <v>0</v>
      </c>
      <c r="W893" s="170"/>
      <c r="X893" s="170"/>
      <c r="Y893" s="173" t="e">
        <f t="shared" si="137"/>
        <v>#N/A</v>
      </c>
      <c r="AA893" s="173" t="e">
        <f t="shared" si="138"/>
        <v>#N/A</v>
      </c>
      <c r="AH893" s="173" t="e">
        <f t="shared" si="139"/>
        <v>#N/A</v>
      </c>
      <c r="AS893" s="173" t="e">
        <f t="shared" si="140"/>
        <v>#N/A</v>
      </c>
    </row>
    <row r="894" spans="1:45" s="173" customFormat="1" ht="36" customHeight="1" x14ac:dyDescent="0.9">
      <c r="A894" s="173">
        <v>1</v>
      </c>
      <c r="B894" s="91">
        <f>SUBTOTAL(103,$A$546:A894)</f>
        <v>313</v>
      </c>
      <c r="C894" s="90" t="s">
        <v>1733</v>
      </c>
      <c r="D894" s="185">
        <v>1953</v>
      </c>
      <c r="E894" s="185"/>
      <c r="F894" s="191" t="s">
        <v>273</v>
      </c>
      <c r="G894" s="185">
        <v>2</v>
      </c>
      <c r="H894" s="185">
        <v>2</v>
      </c>
      <c r="I894" s="186">
        <v>363.9</v>
      </c>
      <c r="J894" s="186">
        <v>364</v>
      </c>
      <c r="K894" s="186">
        <v>322</v>
      </c>
      <c r="L894" s="187">
        <v>18</v>
      </c>
      <c r="M894" s="185" t="s">
        <v>271</v>
      </c>
      <c r="N894" s="185" t="s">
        <v>272</v>
      </c>
      <c r="O894" s="188" t="s">
        <v>274</v>
      </c>
      <c r="P894" s="189">
        <v>3707032</v>
      </c>
      <c r="Q894" s="189">
        <v>0</v>
      </c>
      <c r="R894" s="189">
        <v>0</v>
      </c>
      <c r="S894" s="189">
        <f>P894-Q894-R894</f>
        <v>3707032</v>
      </c>
      <c r="T894" s="189">
        <f t="shared" si="133"/>
        <v>10186.952459466887</v>
      </c>
      <c r="U894" s="189">
        <f>T894</f>
        <v>10186.952459466887</v>
      </c>
      <c r="V894" s="170">
        <f t="shared" si="136"/>
        <v>0</v>
      </c>
      <c r="W894" s="170"/>
      <c r="X894" s="170"/>
      <c r="Y894" s="173" t="e">
        <f t="shared" si="137"/>
        <v>#N/A</v>
      </c>
      <c r="AA894" s="173" t="e">
        <f t="shared" si="138"/>
        <v>#N/A</v>
      </c>
      <c r="AH894" s="173" t="e">
        <f t="shared" si="139"/>
        <v>#N/A</v>
      </c>
      <c r="AS894" s="173" t="e">
        <f t="shared" si="140"/>
        <v>#N/A</v>
      </c>
    </row>
    <row r="895" spans="1:45" s="173" customFormat="1" ht="36" customHeight="1" x14ac:dyDescent="0.9">
      <c r="B895" s="90" t="s">
        <v>868</v>
      </c>
      <c r="C895" s="90"/>
      <c r="D895" s="185" t="s">
        <v>915</v>
      </c>
      <c r="E895" s="185" t="s">
        <v>915</v>
      </c>
      <c r="F895" s="185" t="s">
        <v>915</v>
      </c>
      <c r="G895" s="185" t="s">
        <v>915</v>
      </c>
      <c r="H895" s="185" t="s">
        <v>915</v>
      </c>
      <c r="I895" s="186">
        <f>I896+I897+I898</f>
        <v>5924.49</v>
      </c>
      <c r="J895" s="186">
        <f>J896+J897+J898</f>
        <v>4359.9000000000005</v>
      </c>
      <c r="K895" s="186">
        <f>K896+K897+K898</f>
        <v>4223.91</v>
      </c>
      <c r="L895" s="187">
        <f>L896+L897+L898</f>
        <v>259</v>
      </c>
      <c r="M895" s="185" t="s">
        <v>915</v>
      </c>
      <c r="N895" s="185" t="s">
        <v>915</v>
      </c>
      <c r="O895" s="188" t="s">
        <v>915</v>
      </c>
      <c r="P895" s="189">
        <v>12199052.439999999</v>
      </c>
      <c r="Q895" s="189">
        <f>SUM(Q896:Q898)</f>
        <v>0</v>
      </c>
      <c r="R895" s="189">
        <f>SUM(R896:R898)</f>
        <v>0</v>
      </c>
      <c r="S895" s="189">
        <f>SUM(S896:S898)</f>
        <v>12199052.439999999</v>
      </c>
      <c r="T895" s="189">
        <f t="shared" si="133"/>
        <v>2059.0890422635534</v>
      </c>
      <c r="U895" s="189">
        <f>MAX(U896:U898)</f>
        <v>5545.796875</v>
      </c>
      <c r="V895" s="170">
        <f t="shared" si="136"/>
        <v>3486.7078327364466</v>
      </c>
      <c r="W895" s="170"/>
      <c r="X895" s="170"/>
      <c r="Y895" s="173" t="e">
        <f t="shared" si="137"/>
        <v>#N/A</v>
      </c>
      <c r="AA895" s="173" t="e">
        <f t="shared" si="138"/>
        <v>#N/A</v>
      </c>
      <c r="AH895" s="173" t="e">
        <f t="shared" si="139"/>
        <v>#N/A</v>
      </c>
      <c r="AS895" s="173" t="e">
        <f t="shared" si="140"/>
        <v>#N/A</v>
      </c>
    </row>
    <row r="896" spans="1:45" s="173" customFormat="1" ht="36" customHeight="1" x14ac:dyDescent="0.9">
      <c r="A896" s="173">
        <v>1</v>
      </c>
      <c r="B896" s="91">
        <f>SUBTOTAL(103,$A$546:A896)</f>
        <v>314</v>
      </c>
      <c r="C896" s="90" t="s">
        <v>56</v>
      </c>
      <c r="D896" s="185">
        <v>1972</v>
      </c>
      <c r="E896" s="185"/>
      <c r="F896" s="191" t="s">
        <v>273</v>
      </c>
      <c r="G896" s="185">
        <v>5</v>
      </c>
      <c r="H896" s="185">
        <v>8</v>
      </c>
      <c r="I896" s="186">
        <v>4571.29</v>
      </c>
      <c r="J896" s="186">
        <v>3066.4</v>
      </c>
      <c r="K896" s="186">
        <v>2975.61</v>
      </c>
      <c r="L896" s="187">
        <v>203</v>
      </c>
      <c r="M896" s="185" t="s">
        <v>271</v>
      </c>
      <c r="N896" s="185" t="s">
        <v>275</v>
      </c>
      <c r="O896" s="188" t="s">
        <v>277</v>
      </c>
      <c r="P896" s="189">
        <v>4719977.0600000005</v>
      </c>
      <c r="Q896" s="189">
        <v>0</v>
      </c>
      <c r="R896" s="189">
        <v>0</v>
      </c>
      <c r="S896" s="189">
        <f>P896-Q896-R896</f>
        <v>4719977.0600000005</v>
      </c>
      <c r="T896" s="189">
        <f t="shared" si="133"/>
        <v>1032.5262803278727</v>
      </c>
      <c r="U896" s="189">
        <v>2928.86</v>
      </c>
      <c r="V896" s="170">
        <f t="shared" si="136"/>
        <v>1896.3337196721275</v>
      </c>
      <c r="W896" s="170"/>
      <c r="X896" s="170"/>
      <c r="Y896" s="173" t="e">
        <f t="shared" si="137"/>
        <v>#N/A</v>
      </c>
      <c r="AA896" s="173" t="e">
        <f t="shared" si="138"/>
        <v>#N/A</v>
      </c>
      <c r="AH896" s="173" t="e">
        <f t="shared" si="139"/>
        <v>#N/A</v>
      </c>
      <c r="AS896" s="173" t="e">
        <f t="shared" si="140"/>
        <v>#N/A</v>
      </c>
    </row>
    <row r="897" spans="1:45" s="173" customFormat="1" ht="36" customHeight="1" x14ac:dyDescent="0.9">
      <c r="A897" s="173">
        <v>1</v>
      </c>
      <c r="B897" s="91">
        <f>SUBTOTAL(103,$A$546:A897)</f>
        <v>315</v>
      </c>
      <c r="C897" s="90" t="s">
        <v>46</v>
      </c>
      <c r="D897" s="185">
        <v>1972</v>
      </c>
      <c r="E897" s="185"/>
      <c r="F897" s="191" t="s">
        <v>273</v>
      </c>
      <c r="G897" s="185">
        <v>2</v>
      </c>
      <c r="H897" s="185">
        <v>2</v>
      </c>
      <c r="I897" s="186">
        <v>716.4</v>
      </c>
      <c r="J897" s="186">
        <v>656.7</v>
      </c>
      <c r="K897" s="186">
        <v>656.7</v>
      </c>
      <c r="L897" s="187">
        <v>29</v>
      </c>
      <c r="M897" s="185" t="s">
        <v>271</v>
      </c>
      <c r="N897" s="185" t="s">
        <v>275</v>
      </c>
      <c r="O897" s="188" t="s">
        <v>277</v>
      </c>
      <c r="P897" s="189">
        <v>3947511.93</v>
      </c>
      <c r="Q897" s="189">
        <v>0</v>
      </c>
      <c r="R897" s="189">
        <v>0</v>
      </c>
      <c r="S897" s="189">
        <f>P897-Q897-R897</f>
        <v>3947511.93</v>
      </c>
      <c r="T897" s="189">
        <f t="shared" si="133"/>
        <v>5510.20649078727</v>
      </c>
      <c r="U897" s="189">
        <f>T897</f>
        <v>5510.20649078727</v>
      </c>
      <c r="V897" s="170">
        <f t="shared" si="136"/>
        <v>0</v>
      </c>
      <c r="W897" s="170"/>
      <c r="X897" s="170"/>
      <c r="Y897" s="173">
        <f t="shared" si="137"/>
        <v>5223.9866834170862</v>
      </c>
      <c r="AA897" s="173">
        <f t="shared" si="138"/>
        <v>716.7</v>
      </c>
      <c r="AH897" s="173" t="e">
        <f t="shared" si="139"/>
        <v>#N/A</v>
      </c>
      <c r="AS897" s="173" t="e">
        <f t="shared" si="140"/>
        <v>#N/A</v>
      </c>
    </row>
    <row r="898" spans="1:45" s="173" customFormat="1" ht="36" customHeight="1" x14ac:dyDescent="0.9">
      <c r="A898" s="173">
        <v>1</v>
      </c>
      <c r="B898" s="91">
        <f>SUBTOTAL(103,$A$546:A898)</f>
        <v>316</v>
      </c>
      <c r="C898" s="90" t="s">
        <v>1644</v>
      </c>
      <c r="D898" s="185">
        <v>1963</v>
      </c>
      <c r="E898" s="185"/>
      <c r="F898" s="191" t="s">
        <v>273</v>
      </c>
      <c r="G898" s="185">
        <v>2</v>
      </c>
      <c r="H898" s="185">
        <v>2</v>
      </c>
      <c r="I898" s="189">
        <v>636.79999999999995</v>
      </c>
      <c r="J898" s="189">
        <v>636.79999999999995</v>
      </c>
      <c r="K898" s="189">
        <f>636.8-45.2</f>
        <v>591.59999999999991</v>
      </c>
      <c r="L898" s="187">
        <v>27</v>
      </c>
      <c r="M898" s="185" t="s">
        <v>271</v>
      </c>
      <c r="N898" s="185" t="s">
        <v>272</v>
      </c>
      <c r="O898" s="188" t="s">
        <v>274</v>
      </c>
      <c r="P898" s="189">
        <v>3531563.4499999997</v>
      </c>
      <c r="Q898" s="189">
        <v>0</v>
      </c>
      <c r="R898" s="189">
        <v>0</v>
      </c>
      <c r="S898" s="189">
        <f>P898-Q898-R898</f>
        <v>3531563.4499999997</v>
      </c>
      <c r="T898" s="189">
        <f t="shared" si="133"/>
        <v>5545.796875</v>
      </c>
      <c r="U898" s="189">
        <f>T898</f>
        <v>5545.796875</v>
      </c>
      <c r="V898" s="170">
        <f t="shared" si="136"/>
        <v>0</v>
      </c>
      <c r="W898" s="170"/>
      <c r="X898" s="170"/>
      <c r="Y898" s="173">
        <f t="shared" si="137"/>
        <v>5017.6184359296485</v>
      </c>
      <c r="AA898" s="173">
        <f t="shared" si="138"/>
        <v>611.9</v>
      </c>
      <c r="AH898" s="173" t="e">
        <f t="shared" si="139"/>
        <v>#N/A</v>
      </c>
      <c r="AS898" s="173" t="e">
        <f t="shared" si="140"/>
        <v>#N/A</v>
      </c>
    </row>
    <row r="899" spans="1:45" s="173" customFormat="1" ht="36" customHeight="1" x14ac:dyDescent="0.9">
      <c r="B899" s="90" t="s">
        <v>869</v>
      </c>
      <c r="C899" s="90"/>
      <c r="D899" s="185" t="s">
        <v>915</v>
      </c>
      <c r="E899" s="185" t="s">
        <v>915</v>
      </c>
      <c r="F899" s="185" t="s">
        <v>915</v>
      </c>
      <c r="G899" s="185" t="s">
        <v>915</v>
      </c>
      <c r="H899" s="185" t="s">
        <v>915</v>
      </c>
      <c r="I899" s="186">
        <f>SUM(I900:I901)</f>
        <v>6594.96</v>
      </c>
      <c r="J899" s="186">
        <f t="shared" ref="J899:L899" si="142">SUM(J900:J901)</f>
        <v>4974.6100000000006</v>
      </c>
      <c r="K899" s="186">
        <f t="shared" si="142"/>
        <v>4597.29</v>
      </c>
      <c r="L899" s="187">
        <f t="shared" si="142"/>
        <v>646.19000000000005</v>
      </c>
      <c r="M899" s="185" t="s">
        <v>915</v>
      </c>
      <c r="N899" s="185" t="s">
        <v>915</v>
      </c>
      <c r="O899" s="188" t="s">
        <v>915</v>
      </c>
      <c r="P899" s="189">
        <v>10328843.960000001</v>
      </c>
      <c r="Q899" s="189">
        <f t="shared" ref="Q899:S899" si="143">SUM(Q900:Q901)</f>
        <v>0</v>
      </c>
      <c r="R899" s="189">
        <f t="shared" si="143"/>
        <v>0</v>
      </c>
      <c r="S899" s="189">
        <f t="shared" si="143"/>
        <v>10328843.960000001</v>
      </c>
      <c r="T899" s="189">
        <f t="shared" si="133"/>
        <v>1566.172343729151</v>
      </c>
      <c r="U899" s="189">
        <f>U901</f>
        <v>4271.5744897959185</v>
      </c>
      <c r="V899" s="170">
        <f t="shared" si="136"/>
        <v>2705.4021460667673</v>
      </c>
      <c r="W899" s="170"/>
      <c r="X899" s="170"/>
      <c r="Y899" s="173" t="e">
        <f t="shared" si="137"/>
        <v>#N/A</v>
      </c>
      <c r="AA899" s="173" t="e">
        <f t="shared" si="138"/>
        <v>#N/A</v>
      </c>
      <c r="AH899" s="173" t="e">
        <f t="shared" si="139"/>
        <v>#N/A</v>
      </c>
      <c r="AS899" s="173" t="e">
        <f t="shared" si="140"/>
        <v>#N/A</v>
      </c>
    </row>
    <row r="900" spans="1:45" s="173" customFormat="1" ht="36" customHeight="1" x14ac:dyDescent="0.9">
      <c r="A900" s="173">
        <v>1</v>
      </c>
      <c r="B900" s="91">
        <f>SUBTOTAL(103,$A$546:A900)</f>
        <v>317</v>
      </c>
      <c r="C900" s="90" t="s">
        <v>54</v>
      </c>
      <c r="D900" s="185">
        <v>1989</v>
      </c>
      <c r="E900" s="185"/>
      <c r="F900" s="191" t="s">
        <v>273</v>
      </c>
      <c r="G900" s="185">
        <v>5</v>
      </c>
      <c r="H900" s="185">
        <v>6</v>
      </c>
      <c r="I900" s="186">
        <v>5889.36</v>
      </c>
      <c r="J900" s="186">
        <v>4270.6000000000004</v>
      </c>
      <c r="K900" s="186">
        <v>4123.1000000000004</v>
      </c>
      <c r="L900" s="187">
        <v>172</v>
      </c>
      <c r="M900" s="185" t="s">
        <v>271</v>
      </c>
      <c r="N900" s="185" t="s">
        <v>275</v>
      </c>
      <c r="O900" s="188" t="s">
        <v>278</v>
      </c>
      <c r="P900" s="189">
        <v>7408727.5099999998</v>
      </c>
      <c r="Q900" s="189">
        <v>0</v>
      </c>
      <c r="R900" s="189">
        <v>0</v>
      </c>
      <c r="S900" s="189">
        <f>P900-Q900-R900</f>
        <v>7408727.5099999998</v>
      </c>
      <c r="T900" s="189">
        <f t="shared" si="133"/>
        <v>1257.9851647717239</v>
      </c>
      <c r="U900" s="189">
        <f>Y900</f>
        <v>1479.9958841028567</v>
      </c>
      <c r="V900" s="170">
        <f t="shared" si="136"/>
        <v>222.0107193311328</v>
      </c>
      <c r="W900" s="170"/>
      <c r="X900" s="170"/>
      <c r="Y900" s="173">
        <f t="shared" si="137"/>
        <v>1479.9958841028567</v>
      </c>
      <c r="AA900" s="173">
        <f t="shared" si="138"/>
        <v>1669.2</v>
      </c>
      <c r="AH900" s="173" t="e">
        <f t="shared" si="139"/>
        <v>#N/A</v>
      </c>
      <c r="AS900" s="173" t="e">
        <f t="shared" si="140"/>
        <v>#N/A</v>
      </c>
    </row>
    <row r="901" spans="1:45" s="173" customFormat="1" ht="36" customHeight="1" x14ac:dyDescent="0.9">
      <c r="A901" s="173">
        <v>1</v>
      </c>
      <c r="B901" s="91">
        <f>SUBTOTAL(103,$A$546:A901)</f>
        <v>318</v>
      </c>
      <c r="C901" s="90" t="s">
        <v>1732</v>
      </c>
      <c r="D901" s="185">
        <v>1958</v>
      </c>
      <c r="E901" s="185"/>
      <c r="F901" s="191" t="s">
        <v>273</v>
      </c>
      <c r="G901" s="185">
        <v>2</v>
      </c>
      <c r="H901" s="185">
        <v>2</v>
      </c>
      <c r="I901" s="186">
        <v>705.6</v>
      </c>
      <c r="J901" s="186">
        <v>704.01</v>
      </c>
      <c r="K901" s="186">
        <v>474.19</v>
      </c>
      <c r="L901" s="187">
        <v>474.19</v>
      </c>
      <c r="M901" s="185" t="s">
        <v>271</v>
      </c>
      <c r="N901" s="185" t="s">
        <v>275</v>
      </c>
      <c r="O901" s="188" t="s">
        <v>278</v>
      </c>
      <c r="P901" s="189">
        <v>2920116.45</v>
      </c>
      <c r="Q901" s="189">
        <v>0</v>
      </c>
      <c r="R901" s="189">
        <v>0</v>
      </c>
      <c r="S901" s="189">
        <f>P901-Q901-R901</f>
        <v>2920116.45</v>
      </c>
      <c r="T901" s="189">
        <f t="shared" si="133"/>
        <v>4138.4870323129253</v>
      </c>
      <c r="U901" s="189">
        <v>4271.5744897959185</v>
      </c>
      <c r="V901" s="170">
        <f t="shared" si="136"/>
        <v>133.08745748299316</v>
      </c>
      <c r="W901" s="170"/>
      <c r="X901" s="170"/>
      <c r="Y901" s="173" t="e">
        <f t="shared" si="137"/>
        <v>#N/A</v>
      </c>
      <c r="AA901" s="173" t="e">
        <f t="shared" si="138"/>
        <v>#N/A</v>
      </c>
      <c r="AH901" s="173" t="e">
        <f t="shared" si="139"/>
        <v>#N/A</v>
      </c>
      <c r="AS901" s="173" t="e">
        <f t="shared" si="140"/>
        <v>#N/A</v>
      </c>
    </row>
    <row r="902" spans="1:45" s="173" customFormat="1" ht="36" customHeight="1" x14ac:dyDescent="0.9">
      <c r="B902" s="90" t="s">
        <v>870</v>
      </c>
      <c r="C902" s="90"/>
      <c r="D902" s="185" t="s">
        <v>915</v>
      </c>
      <c r="E902" s="185" t="s">
        <v>915</v>
      </c>
      <c r="F902" s="185" t="s">
        <v>915</v>
      </c>
      <c r="G902" s="185" t="s">
        <v>915</v>
      </c>
      <c r="H902" s="185" t="s">
        <v>915</v>
      </c>
      <c r="I902" s="186">
        <f>I903</f>
        <v>485.3</v>
      </c>
      <c r="J902" s="186">
        <f>J903</f>
        <v>441.3</v>
      </c>
      <c r="K902" s="186">
        <f>K903</f>
        <v>441.3</v>
      </c>
      <c r="L902" s="187">
        <f>L903</f>
        <v>24</v>
      </c>
      <c r="M902" s="185" t="s">
        <v>915</v>
      </c>
      <c r="N902" s="185" t="s">
        <v>915</v>
      </c>
      <c r="O902" s="188" t="s">
        <v>915</v>
      </c>
      <c r="P902" s="189">
        <v>2311215.4500000002</v>
      </c>
      <c r="Q902" s="189">
        <f>Q903</f>
        <v>0</v>
      </c>
      <c r="R902" s="189">
        <f>R903</f>
        <v>0</v>
      </c>
      <c r="S902" s="189">
        <f>S903</f>
        <v>2311215.4500000002</v>
      </c>
      <c r="T902" s="189">
        <f t="shared" si="133"/>
        <v>4762.4468370080367</v>
      </c>
      <c r="U902" s="189">
        <f>U903</f>
        <v>4777.4143828559654</v>
      </c>
      <c r="V902" s="170">
        <f t="shared" si="136"/>
        <v>14.967545847928704</v>
      </c>
      <c r="W902" s="170"/>
      <c r="X902" s="170"/>
      <c r="Y902" s="173" t="e">
        <f t="shared" si="137"/>
        <v>#N/A</v>
      </c>
      <c r="AA902" s="173" t="e">
        <f t="shared" si="138"/>
        <v>#N/A</v>
      </c>
      <c r="AH902" s="173" t="e">
        <f t="shared" si="139"/>
        <v>#N/A</v>
      </c>
      <c r="AS902" s="173" t="e">
        <f t="shared" si="140"/>
        <v>#N/A</v>
      </c>
    </row>
    <row r="903" spans="1:45" s="173" customFormat="1" ht="36" customHeight="1" x14ac:dyDescent="0.9">
      <c r="A903" s="173">
        <v>1</v>
      </c>
      <c r="B903" s="91">
        <f>SUBTOTAL(103,$A$546:A903)</f>
        <v>319</v>
      </c>
      <c r="C903" s="90" t="s">
        <v>53</v>
      </c>
      <c r="D903" s="185">
        <v>1952</v>
      </c>
      <c r="E903" s="185"/>
      <c r="F903" s="191" t="s">
        <v>273</v>
      </c>
      <c r="G903" s="185">
        <v>2</v>
      </c>
      <c r="H903" s="185">
        <v>2</v>
      </c>
      <c r="I903" s="186">
        <v>485.3</v>
      </c>
      <c r="J903" s="186">
        <v>441.3</v>
      </c>
      <c r="K903" s="186">
        <v>441.3</v>
      </c>
      <c r="L903" s="187">
        <v>24</v>
      </c>
      <c r="M903" s="185" t="s">
        <v>271</v>
      </c>
      <c r="N903" s="185" t="s">
        <v>275</v>
      </c>
      <c r="O903" s="188" t="s">
        <v>279</v>
      </c>
      <c r="P903" s="189">
        <v>2311215.4500000002</v>
      </c>
      <c r="Q903" s="189">
        <v>0</v>
      </c>
      <c r="R903" s="189">
        <v>0</v>
      </c>
      <c r="S903" s="189">
        <f>P903-Q903-R903</f>
        <v>2311215.4500000002</v>
      </c>
      <c r="T903" s="189">
        <f t="shared" si="133"/>
        <v>4762.4468370080367</v>
      </c>
      <c r="U903" s="189">
        <f>Y903</f>
        <v>4777.4143828559654</v>
      </c>
      <c r="V903" s="170">
        <f t="shared" si="136"/>
        <v>14.967545847928704</v>
      </c>
      <c r="W903" s="170"/>
      <c r="X903" s="170"/>
      <c r="Y903" s="173">
        <f t="shared" si="137"/>
        <v>4777.4143828559654</v>
      </c>
      <c r="AA903" s="173">
        <f t="shared" si="138"/>
        <v>444</v>
      </c>
      <c r="AH903" s="173" t="e">
        <f t="shared" si="139"/>
        <v>#N/A</v>
      </c>
      <c r="AS903" s="173" t="e">
        <f t="shared" si="140"/>
        <v>#N/A</v>
      </c>
    </row>
    <row r="904" spans="1:45" s="173" customFormat="1" ht="36" customHeight="1" x14ac:dyDescent="0.9">
      <c r="B904" s="90" t="s">
        <v>871</v>
      </c>
      <c r="C904" s="90"/>
      <c r="D904" s="185" t="s">
        <v>915</v>
      </c>
      <c r="E904" s="185" t="s">
        <v>915</v>
      </c>
      <c r="F904" s="185" t="s">
        <v>915</v>
      </c>
      <c r="G904" s="185" t="s">
        <v>915</v>
      </c>
      <c r="H904" s="185" t="s">
        <v>915</v>
      </c>
      <c r="I904" s="186">
        <f>SUM(I905:I909)</f>
        <v>4891.9000000000005</v>
      </c>
      <c r="J904" s="186">
        <f>SUM(J905:J909)</f>
        <v>4511.3200000000006</v>
      </c>
      <c r="K904" s="186">
        <f>SUM(K905:K909)</f>
        <v>4393.6699999999992</v>
      </c>
      <c r="L904" s="187">
        <f>SUM(L905:L909)</f>
        <v>172</v>
      </c>
      <c r="M904" s="185" t="s">
        <v>915</v>
      </c>
      <c r="N904" s="185" t="s">
        <v>915</v>
      </c>
      <c r="O904" s="188" t="s">
        <v>915</v>
      </c>
      <c r="P904" s="189">
        <v>16487311.32</v>
      </c>
      <c r="Q904" s="189">
        <f>Q905+Q906+Q907+Q908+Q909</f>
        <v>0</v>
      </c>
      <c r="R904" s="189">
        <f>R905+R906+R907+R908+R909</f>
        <v>0</v>
      </c>
      <c r="S904" s="189">
        <f>S905+S906+S907+S908+S909</f>
        <v>16487311.32</v>
      </c>
      <c r="T904" s="189">
        <f t="shared" si="133"/>
        <v>3370.3287720517587</v>
      </c>
      <c r="U904" s="189">
        <f>MAX(U905:U909)</f>
        <v>5839.3561504574718</v>
      </c>
      <c r="V904" s="170">
        <f t="shared" si="136"/>
        <v>2469.0273784057131</v>
      </c>
      <c r="W904" s="170"/>
      <c r="X904" s="170"/>
      <c r="Y904" s="173" t="e">
        <f t="shared" si="137"/>
        <v>#N/A</v>
      </c>
      <c r="AA904" s="173" t="e">
        <f t="shared" si="138"/>
        <v>#N/A</v>
      </c>
      <c r="AH904" s="173" t="e">
        <f t="shared" si="139"/>
        <v>#N/A</v>
      </c>
      <c r="AS904" s="173" t="e">
        <f t="shared" si="140"/>
        <v>#N/A</v>
      </c>
    </row>
    <row r="905" spans="1:45" s="173" customFormat="1" ht="36" customHeight="1" x14ac:dyDescent="0.9">
      <c r="A905" s="173">
        <v>1</v>
      </c>
      <c r="B905" s="91">
        <f>SUBTOTAL(103,$A$546:A905)</f>
        <v>320</v>
      </c>
      <c r="C905" s="90" t="s">
        <v>60</v>
      </c>
      <c r="D905" s="185">
        <v>1970</v>
      </c>
      <c r="E905" s="185"/>
      <c r="F905" s="191" t="s">
        <v>273</v>
      </c>
      <c r="G905" s="185">
        <v>5</v>
      </c>
      <c r="H905" s="185">
        <v>2</v>
      </c>
      <c r="I905" s="186">
        <v>2323.8000000000002</v>
      </c>
      <c r="J905" s="186">
        <v>2172.1400000000003</v>
      </c>
      <c r="K905" s="186">
        <v>2094.89</v>
      </c>
      <c r="L905" s="187">
        <v>51</v>
      </c>
      <c r="M905" s="185" t="s">
        <v>271</v>
      </c>
      <c r="N905" s="185" t="s">
        <v>275</v>
      </c>
      <c r="O905" s="188" t="s">
        <v>281</v>
      </c>
      <c r="P905" s="189">
        <v>3462053.4</v>
      </c>
      <c r="Q905" s="189">
        <v>0</v>
      </c>
      <c r="R905" s="189">
        <v>0</v>
      </c>
      <c r="S905" s="189">
        <f>P905-Q905-R905</f>
        <v>3462053.4</v>
      </c>
      <c r="T905" s="189">
        <f t="shared" si="133"/>
        <v>1489.8241673121609</v>
      </c>
      <c r="U905" s="189">
        <f>Y905</f>
        <v>1489.8241673121609</v>
      </c>
      <c r="V905" s="170">
        <f t="shared" si="136"/>
        <v>0</v>
      </c>
      <c r="W905" s="170"/>
      <c r="X905" s="170"/>
      <c r="Y905" s="173">
        <f t="shared" si="137"/>
        <v>1489.8241673121609</v>
      </c>
      <c r="AA905" s="173">
        <f t="shared" si="138"/>
        <v>663</v>
      </c>
      <c r="AH905" s="173" t="e">
        <f t="shared" si="139"/>
        <v>#N/A</v>
      </c>
      <c r="AS905" s="173" t="e">
        <f t="shared" si="140"/>
        <v>#N/A</v>
      </c>
    </row>
    <row r="906" spans="1:45" s="173" customFormat="1" ht="36" customHeight="1" x14ac:dyDescent="0.9">
      <c r="A906" s="173">
        <v>1</v>
      </c>
      <c r="B906" s="91">
        <f>SUBTOTAL(103,$A$546:A906)</f>
        <v>321</v>
      </c>
      <c r="C906" s="90" t="s">
        <v>61</v>
      </c>
      <c r="D906" s="185">
        <v>1972</v>
      </c>
      <c r="E906" s="185"/>
      <c r="F906" s="191" t="s">
        <v>273</v>
      </c>
      <c r="G906" s="185">
        <v>2</v>
      </c>
      <c r="H906" s="185">
        <v>2</v>
      </c>
      <c r="I906" s="186">
        <v>590.20000000000005</v>
      </c>
      <c r="J906" s="186">
        <v>529.80000000000007</v>
      </c>
      <c r="K906" s="186">
        <v>529.79999999999995</v>
      </c>
      <c r="L906" s="187">
        <v>31</v>
      </c>
      <c r="M906" s="185" t="s">
        <v>271</v>
      </c>
      <c r="N906" s="185" t="s">
        <v>272</v>
      </c>
      <c r="O906" s="188" t="s">
        <v>274</v>
      </c>
      <c r="P906" s="189">
        <v>3446388</v>
      </c>
      <c r="Q906" s="189">
        <v>0</v>
      </c>
      <c r="R906" s="189">
        <v>0</v>
      </c>
      <c r="S906" s="189">
        <f>P906-Q906-R906</f>
        <v>3446388</v>
      </c>
      <c r="T906" s="189">
        <f t="shared" si="133"/>
        <v>5839.3561504574718</v>
      </c>
      <c r="U906" s="189">
        <f>Y906</f>
        <v>5839.3561504574718</v>
      </c>
      <c r="V906" s="170">
        <f t="shared" si="136"/>
        <v>0</v>
      </c>
      <c r="W906" s="170"/>
      <c r="X906" s="170"/>
      <c r="Y906" s="173">
        <f t="shared" si="137"/>
        <v>5839.3561504574718</v>
      </c>
      <c r="AA906" s="173">
        <f t="shared" si="138"/>
        <v>660</v>
      </c>
      <c r="AH906" s="173" t="e">
        <f t="shared" si="139"/>
        <v>#N/A</v>
      </c>
      <c r="AS906" s="173" t="e">
        <f t="shared" si="140"/>
        <v>#N/A</v>
      </c>
    </row>
    <row r="907" spans="1:45" s="173" customFormat="1" ht="36" customHeight="1" x14ac:dyDescent="0.9">
      <c r="A907" s="173">
        <v>1</v>
      </c>
      <c r="B907" s="91">
        <f>SUBTOTAL(103,$A$546:A907)</f>
        <v>322</v>
      </c>
      <c r="C907" s="90" t="s">
        <v>59</v>
      </c>
      <c r="D907" s="185">
        <v>1974</v>
      </c>
      <c r="E907" s="185"/>
      <c r="F907" s="191" t="s">
        <v>273</v>
      </c>
      <c r="G907" s="185">
        <v>2</v>
      </c>
      <c r="H907" s="185">
        <v>2</v>
      </c>
      <c r="I907" s="186">
        <v>701.7</v>
      </c>
      <c r="J907" s="186">
        <v>641.1</v>
      </c>
      <c r="K907" s="186">
        <v>600.70000000000005</v>
      </c>
      <c r="L907" s="187">
        <v>36</v>
      </c>
      <c r="M907" s="185" t="s">
        <v>271</v>
      </c>
      <c r="N907" s="185" t="s">
        <v>272</v>
      </c>
      <c r="O907" s="188" t="s">
        <v>274</v>
      </c>
      <c r="P907" s="189">
        <v>3378504.6</v>
      </c>
      <c r="Q907" s="189">
        <v>0</v>
      </c>
      <c r="R907" s="189">
        <v>0</v>
      </c>
      <c r="S907" s="189">
        <f>P907-Q907-R907</f>
        <v>3378504.6</v>
      </c>
      <c r="T907" s="189">
        <f t="shared" si="133"/>
        <v>4814.7421975203079</v>
      </c>
      <c r="U907" s="189">
        <f>Y907</f>
        <v>4814.7421975203079</v>
      </c>
      <c r="V907" s="170">
        <f t="shared" si="136"/>
        <v>0</v>
      </c>
      <c r="W907" s="170"/>
      <c r="X907" s="170"/>
      <c r="Y907" s="173">
        <f t="shared" si="137"/>
        <v>4814.7421975203079</v>
      </c>
      <c r="AA907" s="173">
        <f t="shared" si="138"/>
        <v>647</v>
      </c>
      <c r="AH907" s="173" t="e">
        <f t="shared" si="139"/>
        <v>#N/A</v>
      </c>
      <c r="AS907" s="173" t="e">
        <f t="shared" si="140"/>
        <v>#N/A</v>
      </c>
    </row>
    <row r="908" spans="1:45" s="173" customFormat="1" ht="36" customHeight="1" x14ac:dyDescent="0.9">
      <c r="A908" s="173">
        <v>1</v>
      </c>
      <c r="B908" s="91">
        <f>SUBTOTAL(103,$A$546:A908)</f>
        <v>323</v>
      </c>
      <c r="C908" s="90" t="s">
        <v>62</v>
      </c>
      <c r="D908" s="185">
        <v>1982</v>
      </c>
      <c r="E908" s="185"/>
      <c r="F908" s="191" t="s">
        <v>273</v>
      </c>
      <c r="G908" s="185">
        <v>2</v>
      </c>
      <c r="H908" s="185">
        <v>2</v>
      </c>
      <c r="I908" s="186">
        <v>549.6</v>
      </c>
      <c r="J908" s="186">
        <v>502.6</v>
      </c>
      <c r="K908" s="186">
        <v>502.6</v>
      </c>
      <c r="L908" s="187">
        <v>25</v>
      </c>
      <c r="M908" s="185" t="s">
        <v>271</v>
      </c>
      <c r="N908" s="185" t="s">
        <v>272</v>
      </c>
      <c r="O908" s="188" t="s">
        <v>274</v>
      </c>
      <c r="P908" s="189">
        <v>2799929.1599999997</v>
      </c>
      <c r="Q908" s="189">
        <v>0</v>
      </c>
      <c r="R908" s="189">
        <v>0</v>
      </c>
      <c r="S908" s="189">
        <f>P908-Q908-R908</f>
        <v>2799929.1599999997</v>
      </c>
      <c r="T908" s="189">
        <f t="shared" si="133"/>
        <v>5094.4853711790383</v>
      </c>
      <c r="U908" s="189">
        <f>Y908</f>
        <v>5094.4853711790392</v>
      </c>
      <c r="V908" s="170">
        <f t="shared" si="136"/>
        <v>0</v>
      </c>
      <c r="W908" s="170"/>
      <c r="X908" s="170"/>
      <c r="Y908" s="173">
        <f t="shared" si="137"/>
        <v>5094.4853711790392</v>
      </c>
      <c r="AA908" s="173">
        <f t="shared" si="138"/>
        <v>536.20000000000005</v>
      </c>
      <c r="AH908" s="173" t="e">
        <f t="shared" si="139"/>
        <v>#N/A</v>
      </c>
      <c r="AS908" s="173" t="e">
        <f t="shared" si="140"/>
        <v>#N/A</v>
      </c>
    </row>
    <row r="909" spans="1:45" s="173" customFormat="1" ht="36" customHeight="1" x14ac:dyDescent="0.9">
      <c r="A909" s="173">
        <v>1</v>
      </c>
      <c r="B909" s="91">
        <f>SUBTOTAL(103,$A$546:A909)</f>
        <v>324</v>
      </c>
      <c r="C909" s="90" t="s">
        <v>58</v>
      </c>
      <c r="D909" s="185">
        <v>1970</v>
      </c>
      <c r="E909" s="185"/>
      <c r="F909" s="191" t="s">
        <v>273</v>
      </c>
      <c r="G909" s="185">
        <v>2</v>
      </c>
      <c r="H909" s="185">
        <v>2</v>
      </c>
      <c r="I909" s="186">
        <v>726.6</v>
      </c>
      <c r="J909" s="186">
        <v>665.68000000000006</v>
      </c>
      <c r="K909" s="186">
        <v>665.68</v>
      </c>
      <c r="L909" s="187">
        <v>29</v>
      </c>
      <c r="M909" s="185" t="s">
        <v>271</v>
      </c>
      <c r="N909" s="185" t="s">
        <v>272</v>
      </c>
      <c r="O909" s="188" t="s">
        <v>274</v>
      </c>
      <c r="P909" s="189">
        <v>3400436.16</v>
      </c>
      <c r="Q909" s="189">
        <v>0</v>
      </c>
      <c r="R909" s="189">
        <v>0</v>
      </c>
      <c r="S909" s="189">
        <f>P909-Q909-R909</f>
        <v>3400436.16</v>
      </c>
      <c r="T909" s="189">
        <f t="shared" si="133"/>
        <v>4679.9286540049543</v>
      </c>
      <c r="U909" s="189">
        <f>Y909</f>
        <v>4679.9286540049543</v>
      </c>
      <c r="V909" s="170">
        <f t="shared" si="136"/>
        <v>0</v>
      </c>
      <c r="W909" s="170"/>
      <c r="X909" s="170"/>
      <c r="Y909" s="173">
        <f t="shared" si="137"/>
        <v>4679.9286540049543</v>
      </c>
      <c r="AA909" s="173">
        <f t="shared" si="138"/>
        <v>651.20000000000005</v>
      </c>
      <c r="AH909" s="173" t="e">
        <f t="shared" si="139"/>
        <v>#N/A</v>
      </c>
      <c r="AS909" s="173" t="e">
        <f t="shared" si="140"/>
        <v>#N/A</v>
      </c>
    </row>
    <row r="910" spans="1:45" s="173" customFormat="1" ht="36" customHeight="1" x14ac:dyDescent="0.9">
      <c r="B910" s="90" t="s">
        <v>872</v>
      </c>
      <c r="C910" s="192"/>
      <c r="D910" s="185" t="s">
        <v>915</v>
      </c>
      <c r="E910" s="185" t="s">
        <v>915</v>
      </c>
      <c r="F910" s="185" t="s">
        <v>915</v>
      </c>
      <c r="G910" s="185" t="s">
        <v>915</v>
      </c>
      <c r="H910" s="185" t="s">
        <v>915</v>
      </c>
      <c r="I910" s="186">
        <f>I911+I912</f>
        <v>4053.7</v>
      </c>
      <c r="J910" s="186">
        <f>J911+J912</f>
        <v>3133.3999999999996</v>
      </c>
      <c r="K910" s="186">
        <f>K911+K912</f>
        <v>3133.3999999999996</v>
      </c>
      <c r="L910" s="187">
        <f>L911+L912</f>
        <v>118</v>
      </c>
      <c r="M910" s="185" t="s">
        <v>915</v>
      </c>
      <c r="N910" s="185" t="s">
        <v>915</v>
      </c>
      <c r="O910" s="188" t="s">
        <v>915</v>
      </c>
      <c r="P910" s="189">
        <v>6032850.6600000001</v>
      </c>
      <c r="Q910" s="189">
        <f>Q911+Q912</f>
        <v>0</v>
      </c>
      <c r="R910" s="189">
        <f>R911+R912</f>
        <v>0</v>
      </c>
      <c r="S910" s="189">
        <f>S911+S912</f>
        <v>6032850.6600000001</v>
      </c>
      <c r="T910" s="189">
        <f t="shared" si="133"/>
        <v>1488.2331351604707</v>
      </c>
      <c r="U910" s="189">
        <f>MAX(U911:U912)</f>
        <v>4601.5862068965516</v>
      </c>
      <c r="V910" s="170">
        <f t="shared" si="136"/>
        <v>3113.3530717360809</v>
      </c>
      <c r="W910" s="170"/>
      <c r="X910" s="170"/>
      <c r="Y910" s="173" t="e">
        <f t="shared" si="137"/>
        <v>#N/A</v>
      </c>
      <c r="AA910" s="173" t="e">
        <f t="shared" si="138"/>
        <v>#N/A</v>
      </c>
      <c r="AH910" s="173" t="e">
        <f t="shared" si="139"/>
        <v>#N/A</v>
      </c>
      <c r="AS910" s="173" t="e">
        <f t="shared" si="140"/>
        <v>#N/A</v>
      </c>
    </row>
    <row r="911" spans="1:45" s="173" customFormat="1" ht="36" customHeight="1" x14ac:dyDescent="0.9">
      <c r="A911" s="173">
        <v>1</v>
      </c>
      <c r="B911" s="91">
        <f>SUBTOTAL(103,$A$546:A911)</f>
        <v>325</v>
      </c>
      <c r="C911" s="90" t="s">
        <v>234</v>
      </c>
      <c r="D911" s="185">
        <v>1988</v>
      </c>
      <c r="E911" s="185"/>
      <c r="F911" s="191" t="s">
        <v>273</v>
      </c>
      <c r="G911" s="185">
        <v>5</v>
      </c>
      <c r="H911" s="185">
        <v>4</v>
      </c>
      <c r="I911" s="186">
        <v>3662.2</v>
      </c>
      <c r="J911" s="186">
        <v>2766.2</v>
      </c>
      <c r="K911" s="186">
        <v>2766.2</v>
      </c>
      <c r="L911" s="187">
        <v>110</v>
      </c>
      <c r="M911" s="185" t="s">
        <v>271</v>
      </c>
      <c r="N911" s="185" t="s">
        <v>275</v>
      </c>
      <c r="O911" s="188" t="s">
        <v>726</v>
      </c>
      <c r="P911" s="189">
        <v>4231329.66</v>
      </c>
      <c r="Q911" s="189">
        <v>0</v>
      </c>
      <c r="R911" s="189">
        <v>0</v>
      </c>
      <c r="S911" s="189">
        <f>P911-Q911-R911</f>
        <v>4231329.66</v>
      </c>
      <c r="T911" s="189">
        <f t="shared" ref="T911:T974" si="144">P911/I911</f>
        <v>1155.4064933646443</v>
      </c>
      <c r="U911" s="189">
        <f>Y911</f>
        <v>1223.3915132980178</v>
      </c>
      <c r="V911" s="170">
        <f t="shared" si="136"/>
        <v>67.985019933373451</v>
      </c>
      <c r="W911" s="170"/>
      <c r="X911" s="170"/>
      <c r="Y911" s="173">
        <f t="shared" si="137"/>
        <v>1223.3915132980178</v>
      </c>
      <c r="AA911" s="173">
        <f t="shared" si="138"/>
        <v>858</v>
      </c>
      <c r="AH911" s="173" t="e">
        <f t="shared" si="139"/>
        <v>#N/A</v>
      </c>
      <c r="AS911" s="173" t="e">
        <f t="shared" si="140"/>
        <v>#N/A</v>
      </c>
    </row>
    <row r="912" spans="1:45" s="173" customFormat="1" ht="36" customHeight="1" x14ac:dyDescent="0.9">
      <c r="A912" s="173">
        <v>1</v>
      </c>
      <c r="B912" s="91">
        <f>SUBTOTAL(103,$A$546:A912)</f>
        <v>326</v>
      </c>
      <c r="C912" s="90" t="s">
        <v>233</v>
      </c>
      <c r="D912" s="185">
        <v>1966</v>
      </c>
      <c r="E912" s="185"/>
      <c r="F912" s="191" t="s">
        <v>273</v>
      </c>
      <c r="G912" s="185">
        <v>2</v>
      </c>
      <c r="H912" s="185">
        <v>1</v>
      </c>
      <c r="I912" s="186">
        <v>391.5</v>
      </c>
      <c r="J912" s="186">
        <v>367.2</v>
      </c>
      <c r="K912" s="186">
        <v>367.2</v>
      </c>
      <c r="L912" s="187">
        <v>8</v>
      </c>
      <c r="M912" s="185" t="s">
        <v>271</v>
      </c>
      <c r="N912" s="185" t="s">
        <v>275</v>
      </c>
      <c r="O912" s="188" t="s">
        <v>726</v>
      </c>
      <c r="P912" s="189">
        <v>1801521</v>
      </c>
      <c r="Q912" s="189">
        <v>0</v>
      </c>
      <c r="R912" s="189">
        <v>0</v>
      </c>
      <c r="S912" s="189">
        <f>P912-Q912-R912</f>
        <v>1801521</v>
      </c>
      <c r="T912" s="189">
        <f t="shared" si="144"/>
        <v>4601.5862068965516</v>
      </c>
      <c r="U912" s="189">
        <f>Y912</f>
        <v>4601.5862068965516</v>
      </c>
      <c r="V912" s="170">
        <f t="shared" si="136"/>
        <v>0</v>
      </c>
      <c r="W912" s="170"/>
      <c r="X912" s="170"/>
      <c r="Y912" s="173">
        <f t="shared" si="137"/>
        <v>4601.5862068965516</v>
      </c>
      <c r="AA912" s="173">
        <f t="shared" si="138"/>
        <v>345</v>
      </c>
      <c r="AH912" s="173" t="e">
        <f t="shared" si="139"/>
        <v>#N/A</v>
      </c>
      <c r="AS912" s="173" t="e">
        <f t="shared" si="140"/>
        <v>#N/A</v>
      </c>
    </row>
    <row r="913" spans="1:45" s="173" customFormat="1" ht="36" customHeight="1" x14ac:dyDescent="0.9">
      <c r="B913" s="90" t="s">
        <v>874</v>
      </c>
      <c r="C913" s="192"/>
      <c r="D913" s="185" t="s">
        <v>915</v>
      </c>
      <c r="E913" s="185" t="s">
        <v>915</v>
      </c>
      <c r="F913" s="185" t="s">
        <v>915</v>
      </c>
      <c r="G913" s="185" t="s">
        <v>915</v>
      </c>
      <c r="H913" s="185" t="s">
        <v>915</v>
      </c>
      <c r="I913" s="186">
        <f>I914</f>
        <v>545.34</v>
      </c>
      <c r="J913" s="186">
        <f>J914</f>
        <v>316.54000000000002</v>
      </c>
      <c r="K913" s="186">
        <f>K914</f>
        <v>204.04</v>
      </c>
      <c r="L913" s="187">
        <f>L914</f>
        <v>22</v>
      </c>
      <c r="M913" s="185" t="s">
        <v>915</v>
      </c>
      <c r="N913" s="185" t="s">
        <v>915</v>
      </c>
      <c r="O913" s="188" t="s">
        <v>915</v>
      </c>
      <c r="P913" s="189">
        <v>1799918.22</v>
      </c>
      <c r="Q913" s="189">
        <f>Q914</f>
        <v>0</v>
      </c>
      <c r="R913" s="189">
        <f>R914</f>
        <v>0</v>
      </c>
      <c r="S913" s="189">
        <f>S914</f>
        <v>1799918.22</v>
      </c>
      <c r="T913" s="189">
        <f t="shared" si="144"/>
        <v>3300.5431840686542</v>
      </c>
      <c r="U913" s="189">
        <f>T913</f>
        <v>3300.5431840686542</v>
      </c>
      <c r="V913" s="170">
        <f t="shared" si="136"/>
        <v>0</v>
      </c>
      <c r="W913" s="170"/>
      <c r="X913" s="170"/>
      <c r="Y913" s="173" t="e">
        <f t="shared" si="137"/>
        <v>#N/A</v>
      </c>
      <c r="AA913" s="173" t="e">
        <f t="shared" si="138"/>
        <v>#N/A</v>
      </c>
      <c r="AH913" s="173" t="e">
        <f t="shared" si="139"/>
        <v>#N/A</v>
      </c>
      <c r="AS913" s="173" t="e">
        <f t="shared" si="140"/>
        <v>#N/A</v>
      </c>
    </row>
    <row r="914" spans="1:45" s="173" customFormat="1" ht="36" customHeight="1" x14ac:dyDescent="0.9">
      <c r="A914" s="173">
        <v>1</v>
      </c>
      <c r="B914" s="91">
        <f>SUBTOTAL(103,$A$546:A914)</f>
        <v>327</v>
      </c>
      <c r="C914" s="90" t="s">
        <v>151</v>
      </c>
      <c r="D914" s="185">
        <v>1968</v>
      </c>
      <c r="E914" s="185"/>
      <c r="F914" s="191" t="s">
        <v>273</v>
      </c>
      <c r="G914" s="185">
        <v>2</v>
      </c>
      <c r="H914" s="185">
        <v>1</v>
      </c>
      <c r="I914" s="186">
        <v>545.34</v>
      </c>
      <c r="J914" s="186">
        <v>316.54000000000002</v>
      </c>
      <c r="K914" s="186">
        <v>204.04</v>
      </c>
      <c r="L914" s="187">
        <v>22</v>
      </c>
      <c r="M914" s="185" t="s">
        <v>271</v>
      </c>
      <c r="N914" s="185" t="s">
        <v>275</v>
      </c>
      <c r="O914" s="188" t="s">
        <v>1019</v>
      </c>
      <c r="P914" s="189">
        <v>1799918.22</v>
      </c>
      <c r="Q914" s="189">
        <v>0</v>
      </c>
      <c r="R914" s="189">
        <v>0</v>
      </c>
      <c r="S914" s="189">
        <f>P914-Q914-R914</f>
        <v>1799918.22</v>
      </c>
      <c r="T914" s="189">
        <f t="shared" si="144"/>
        <v>3300.5431840686542</v>
      </c>
      <c r="U914" s="189">
        <f>T914</f>
        <v>3300.5431840686542</v>
      </c>
      <c r="V914" s="170">
        <f t="shared" si="136"/>
        <v>0</v>
      </c>
      <c r="W914" s="170"/>
      <c r="X914" s="170"/>
      <c r="Y914" s="173">
        <f t="shared" si="137"/>
        <v>2872.5932445813619</v>
      </c>
      <c r="AA914" s="173">
        <f t="shared" si="138"/>
        <v>300</v>
      </c>
      <c r="AH914" s="173" t="e">
        <f t="shared" si="139"/>
        <v>#N/A</v>
      </c>
      <c r="AS914" s="173" t="e">
        <f t="shared" si="140"/>
        <v>#N/A</v>
      </c>
    </row>
    <row r="915" spans="1:45" s="173" customFormat="1" ht="36" customHeight="1" x14ac:dyDescent="0.9">
      <c r="B915" s="90" t="s">
        <v>907</v>
      </c>
      <c r="C915" s="192"/>
      <c r="D915" s="185" t="s">
        <v>915</v>
      </c>
      <c r="E915" s="185" t="s">
        <v>915</v>
      </c>
      <c r="F915" s="185" t="s">
        <v>915</v>
      </c>
      <c r="G915" s="185" t="s">
        <v>915</v>
      </c>
      <c r="H915" s="185" t="s">
        <v>915</v>
      </c>
      <c r="I915" s="186">
        <f>SUM(I916:I919)</f>
        <v>8901.1</v>
      </c>
      <c r="J915" s="186">
        <f t="shared" ref="J915:L915" si="145">SUM(J916:J919)</f>
        <v>4971.62</v>
      </c>
      <c r="K915" s="186">
        <f t="shared" si="145"/>
        <v>4955.2999999999993</v>
      </c>
      <c r="L915" s="187">
        <f t="shared" si="145"/>
        <v>365</v>
      </c>
      <c r="M915" s="185" t="s">
        <v>915</v>
      </c>
      <c r="N915" s="185" t="s">
        <v>915</v>
      </c>
      <c r="O915" s="188" t="s">
        <v>915</v>
      </c>
      <c r="P915" s="189">
        <v>4102310.33</v>
      </c>
      <c r="Q915" s="189">
        <f t="shared" ref="Q915:S915" si="146">SUM(Q916:Q919)</f>
        <v>0</v>
      </c>
      <c r="R915" s="189">
        <f t="shared" si="146"/>
        <v>0</v>
      </c>
      <c r="S915" s="189">
        <f t="shared" si="146"/>
        <v>4102310.33</v>
      </c>
      <c r="T915" s="189">
        <f t="shared" si="144"/>
        <v>460.87678264484163</v>
      </c>
      <c r="U915" s="189">
        <f>MAX(U916:U919)</f>
        <v>689.60056603773592</v>
      </c>
      <c r="V915" s="170">
        <f t="shared" si="136"/>
        <v>228.72378339289429</v>
      </c>
      <c r="W915" s="170"/>
      <c r="X915" s="170"/>
      <c r="Y915" s="173" t="e">
        <f t="shared" si="137"/>
        <v>#N/A</v>
      </c>
      <c r="AA915" s="173" t="e">
        <f t="shared" si="138"/>
        <v>#N/A</v>
      </c>
      <c r="AH915" s="173" t="e">
        <f t="shared" si="139"/>
        <v>#N/A</v>
      </c>
      <c r="AS915" s="173" t="e">
        <f t="shared" si="140"/>
        <v>#N/A</v>
      </c>
    </row>
    <row r="916" spans="1:45" s="173" customFormat="1" ht="36" customHeight="1" x14ac:dyDescent="0.9">
      <c r="A916" s="173">
        <v>1</v>
      </c>
      <c r="B916" s="91">
        <f>SUBTOTAL(103,$A$546:A916)</f>
        <v>328</v>
      </c>
      <c r="C916" s="90" t="s">
        <v>1728</v>
      </c>
      <c r="D916" s="185">
        <v>1978</v>
      </c>
      <c r="E916" s="185"/>
      <c r="F916" s="191" t="s">
        <v>326</v>
      </c>
      <c r="G916" s="185">
        <v>3</v>
      </c>
      <c r="H916" s="185">
        <v>7</v>
      </c>
      <c r="I916" s="186">
        <v>3189.7</v>
      </c>
      <c r="J916" s="186">
        <v>1869.92</v>
      </c>
      <c r="K916" s="186">
        <v>1853.6</v>
      </c>
      <c r="L916" s="187">
        <v>124</v>
      </c>
      <c r="M916" s="185" t="s">
        <v>271</v>
      </c>
      <c r="N916" s="185" t="s">
        <v>272</v>
      </c>
      <c r="O916" s="188" t="s">
        <v>274</v>
      </c>
      <c r="P916" s="189">
        <v>1024846.28</v>
      </c>
      <c r="Q916" s="189">
        <v>0</v>
      </c>
      <c r="R916" s="189">
        <v>0</v>
      </c>
      <c r="S916" s="189">
        <f>P916-Q916-R916</f>
        <v>1024846.28</v>
      </c>
      <c r="T916" s="189">
        <f>P916/I916</f>
        <v>321.29864250556483</v>
      </c>
      <c r="U916" s="189">
        <f>T916</f>
        <v>321.29864250556483</v>
      </c>
      <c r="V916" s="170">
        <f t="shared" si="136"/>
        <v>0</v>
      </c>
      <c r="W916" s="170"/>
      <c r="X916" s="170"/>
      <c r="Y916" s="173" t="e">
        <f t="shared" si="137"/>
        <v>#N/A</v>
      </c>
      <c r="AA916" s="173" t="e">
        <f t="shared" si="138"/>
        <v>#N/A</v>
      </c>
      <c r="AH916" s="173" t="e">
        <f t="shared" si="139"/>
        <v>#N/A</v>
      </c>
      <c r="AS916" s="173" t="e">
        <f t="shared" si="140"/>
        <v>#N/A</v>
      </c>
    </row>
    <row r="917" spans="1:45" s="173" customFormat="1" ht="36" customHeight="1" x14ac:dyDescent="0.9">
      <c r="A917" s="173">
        <v>1</v>
      </c>
      <c r="B917" s="91">
        <f>SUBTOTAL(103,$A$546:A917)</f>
        <v>329</v>
      </c>
      <c r="C917" s="90" t="s">
        <v>1729</v>
      </c>
      <c r="D917" s="185">
        <v>1980</v>
      </c>
      <c r="E917" s="185"/>
      <c r="F917" s="191" t="s">
        <v>326</v>
      </c>
      <c r="G917" s="185">
        <v>5</v>
      </c>
      <c r="H917" s="185">
        <v>2</v>
      </c>
      <c r="I917" s="186">
        <v>2144.4</v>
      </c>
      <c r="J917" s="186">
        <v>1166.5999999999999</v>
      </c>
      <c r="K917" s="186">
        <v>1166.5999999999999</v>
      </c>
      <c r="L917" s="187">
        <v>95</v>
      </c>
      <c r="M917" s="185" t="s">
        <v>271</v>
      </c>
      <c r="N917" s="185" t="s">
        <v>272</v>
      </c>
      <c r="O917" s="188" t="s">
        <v>274</v>
      </c>
      <c r="P917" s="189">
        <v>1103827.23</v>
      </c>
      <c r="Q917" s="189">
        <v>0</v>
      </c>
      <c r="R917" s="189">
        <v>0</v>
      </c>
      <c r="S917" s="189">
        <f>P917-Q917-R917</f>
        <v>1103827.23</v>
      </c>
      <c r="T917" s="189">
        <f t="shared" si="144"/>
        <v>514.74875489647445</v>
      </c>
      <c r="U917" s="189">
        <f t="shared" ref="U917:U919" si="147">T917</f>
        <v>514.74875489647445</v>
      </c>
      <c r="V917" s="170">
        <f t="shared" si="136"/>
        <v>0</v>
      </c>
      <c r="W917" s="170"/>
      <c r="X917" s="170"/>
      <c r="Y917" s="173" t="e">
        <f t="shared" si="137"/>
        <v>#N/A</v>
      </c>
      <c r="AA917" s="173" t="e">
        <f t="shared" si="138"/>
        <v>#N/A</v>
      </c>
      <c r="AH917" s="173" t="e">
        <f t="shared" si="139"/>
        <v>#N/A</v>
      </c>
      <c r="AS917" s="173" t="e">
        <f t="shared" si="140"/>
        <v>#N/A</v>
      </c>
    </row>
    <row r="918" spans="1:45" s="173" customFormat="1" ht="36" customHeight="1" x14ac:dyDescent="0.9">
      <c r="A918" s="173">
        <v>1</v>
      </c>
      <c r="B918" s="91">
        <f>SUBTOTAL(103,$A$546:A918)</f>
        <v>330</v>
      </c>
      <c r="C918" s="90" t="s">
        <v>1730</v>
      </c>
      <c r="D918" s="185">
        <v>1982</v>
      </c>
      <c r="E918" s="185"/>
      <c r="F918" s="191" t="s">
        <v>326</v>
      </c>
      <c r="G918" s="185">
        <v>5</v>
      </c>
      <c r="H918" s="185">
        <v>3</v>
      </c>
      <c r="I918" s="186">
        <v>2136</v>
      </c>
      <c r="J918" s="186">
        <v>1158.2</v>
      </c>
      <c r="K918" s="186">
        <v>1158.2</v>
      </c>
      <c r="L918" s="187">
        <v>93</v>
      </c>
      <c r="M918" s="185" t="s">
        <v>271</v>
      </c>
      <c r="N918" s="185" t="s">
        <v>272</v>
      </c>
      <c r="O918" s="188" t="s">
        <v>274</v>
      </c>
      <c r="P918" s="189">
        <v>986818.41</v>
      </c>
      <c r="Q918" s="189">
        <v>0</v>
      </c>
      <c r="R918" s="189">
        <v>0</v>
      </c>
      <c r="S918" s="189">
        <f>P918-Q918-R918</f>
        <v>986818.41</v>
      </c>
      <c r="T918" s="189">
        <f t="shared" si="144"/>
        <v>461.99363764044944</v>
      </c>
      <c r="U918" s="189">
        <f t="shared" si="147"/>
        <v>461.99363764044944</v>
      </c>
      <c r="V918" s="170">
        <f t="shared" si="136"/>
        <v>0</v>
      </c>
      <c r="W918" s="170"/>
      <c r="X918" s="170"/>
      <c r="Y918" s="173" t="e">
        <f t="shared" si="137"/>
        <v>#N/A</v>
      </c>
      <c r="AA918" s="173" t="e">
        <f t="shared" si="138"/>
        <v>#N/A</v>
      </c>
      <c r="AH918" s="173" t="e">
        <f t="shared" si="139"/>
        <v>#N/A</v>
      </c>
      <c r="AS918" s="173" t="e">
        <f t="shared" si="140"/>
        <v>#N/A</v>
      </c>
    </row>
    <row r="919" spans="1:45" s="173" customFormat="1" ht="36" customHeight="1" x14ac:dyDescent="0.9">
      <c r="A919" s="173">
        <v>1</v>
      </c>
      <c r="B919" s="91">
        <f>SUBTOTAL(103,$A$546:A919)</f>
        <v>331</v>
      </c>
      <c r="C919" s="90" t="s">
        <v>1727</v>
      </c>
      <c r="D919" s="185">
        <v>1983</v>
      </c>
      <c r="E919" s="185"/>
      <c r="F919" s="191" t="s">
        <v>326</v>
      </c>
      <c r="G919" s="185">
        <v>5</v>
      </c>
      <c r="H919" s="185">
        <v>2</v>
      </c>
      <c r="I919" s="186">
        <v>1431</v>
      </c>
      <c r="J919" s="186">
        <v>776.9</v>
      </c>
      <c r="K919" s="186">
        <v>776.9</v>
      </c>
      <c r="L919" s="187">
        <v>53</v>
      </c>
      <c r="M919" s="185" t="s">
        <v>271</v>
      </c>
      <c r="N919" s="185" t="s">
        <v>272</v>
      </c>
      <c r="O919" s="188" t="s">
        <v>274</v>
      </c>
      <c r="P919" s="189">
        <v>986818.41</v>
      </c>
      <c r="Q919" s="189">
        <v>0</v>
      </c>
      <c r="R919" s="189">
        <v>0</v>
      </c>
      <c r="S919" s="189">
        <f>P919-Q919-R919</f>
        <v>986818.41</v>
      </c>
      <c r="T919" s="189">
        <f t="shared" si="144"/>
        <v>689.60056603773592</v>
      </c>
      <c r="U919" s="189">
        <f t="shared" si="147"/>
        <v>689.60056603773592</v>
      </c>
      <c r="V919" s="170">
        <f t="shared" si="136"/>
        <v>0</v>
      </c>
      <c r="W919" s="170"/>
      <c r="X919" s="170"/>
      <c r="Y919" s="173" t="e">
        <f t="shared" si="137"/>
        <v>#N/A</v>
      </c>
      <c r="AA919" s="173" t="e">
        <f t="shared" si="138"/>
        <v>#N/A</v>
      </c>
      <c r="AH919" s="173" t="e">
        <f t="shared" si="139"/>
        <v>#N/A</v>
      </c>
      <c r="AS919" s="173" t="e">
        <f t="shared" si="140"/>
        <v>#N/A</v>
      </c>
    </row>
    <row r="920" spans="1:45" s="173" customFormat="1" ht="36" customHeight="1" x14ac:dyDescent="0.9">
      <c r="B920" s="90" t="s">
        <v>902</v>
      </c>
      <c r="C920" s="90"/>
      <c r="D920" s="185" t="s">
        <v>915</v>
      </c>
      <c r="E920" s="185" t="s">
        <v>915</v>
      </c>
      <c r="F920" s="185" t="s">
        <v>915</v>
      </c>
      <c r="G920" s="185" t="s">
        <v>915</v>
      </c>
      <c r="H920" s="185" t="s">
        <v>915</v>
      </c>
      <c r="I920" s="186">
        <f>I921</f>
        <v>2138.8000000000002</v>
      </c>
      <c r="J920" s="186">
        <f>J921</f>
        <v>959.97</v>
      </c>
      <c r="K920" s="186">
        <f>K921</f>
        <v>458.1</v>
      </c>
      <c r="L920" s="187">
        <f>L921</f>
        <v>56</v>
      </c>
      <c r="M920" s="185" t="s">
        <v>915</v>
      </c>
      <c r="N920" s="185" t="s">
        <v>915</v>
      </c>
      <c r="O920" s="188" t="s">
        <v>915</v>
      </c>
      <c r="P920" s="189">
        <v>3974620.0799999996</v>
      </c>
      <c r="Q920" s="189">
        <f>Q921</f>
        <v>0</v>
      </c>
      <c r="R920" s="189">
        <f>R921</f>
        <v>0</v>
      </c>
      <c r="S920" s="189">
        <f>S921</f>
        <v>3974620.0799999996</v>
      </c>
      <c r="T920" s="189">
        <f t="shared" si="144"/>
        <v>1858.3411632691225</v>
      </c>
      <c r="U920" s="189">
        <f>T920</f>
        <v>1858.3411632691225</v>
      </c>
      <c r="V920" s="170">
        <f t="shared" si="136"/>
        <v>0</v>
      </c>
      <c r="W920" s="170"/>
      <c r="X920" s="170"/>
      <c r="Y920" s="173" t="e">
        <f t="shared" si="137"/>
        <v>#N/A</v>
      </c>
      <c r="AA920" s="173" t="e">
        <f t="shared" si="138"/>
        <v>#N/A</v>
      </c>
      <c r="AH920" s="173" t="e">
        <f t="shared" si="139"/>
        <v>#N/A</v>
      </c>
      <c r="AS920" s="173" t="e">
        <f t="shared" si="140"/>
        <v>#N/A</v>
      </c>
    </row>
    <row r="921" spans="1:45" s="173" customFormat="1" ht="36" customHeight="1" x14ac:dyDescent="0.9">
      <c r="A921" s="173">
        <v>1</v>
      </c>
      <c r="B921" s="91">
        <f>SUBTOTAL(103,$A$546:A921)</f>
        <v>332</v>
      </c>
      <c r="C921" s="90" t="s">
        <v>152</v>
      </c>
      <c r="D921" s="185">
        <v>1983</v>
      </c>
      <c r="E921" s="185"/>
      <c r="F921" s="191" t="s">
        <v>273</v>
      </c>
      <c r="G921" s="185">
        <v>2</v>
      </c>
      <c r="H921" s="185">
        <v>3</v>
      </c>
      <c r="I921" s="186">
        <v>2138.8000000000002</v>
      </c>
      <c r="J921" s="186">
        <v>959.97</v>
      </c>
      <c r="K921" s="186">
        <v>458.1</v>
      </c>
      <c r="L921" s="187">
        <v>56</v>
      </c>
      <c r="M921" s="185" t="s">
        <v>271</v>
      </c>
      <c r="N921" s="185" t="s">
        <v>275</v>
      </c>
      <c r="O921" s="188" t="s">
        <v>294</v>
      </c>
      <c r="P921" s="189">
        <v>3974620.0799999996</v>
      </c>
      <c r="Q921" s="189">
        <v>0</v>
      </c>
      <c r="R921" s="189">
        <v>0</v>
      </c>
      <c r="S921" s="189">
        <f>P921-Q921-R921</f>
        <v>3974620.0799999996</v>
      </c>
      <c r="T921" s="189">
        <f t="shared" si="144"/>
        <v>1858.3411632691225</v>
      </c>
      <c r="U921" s="189">
        <f>T921</f>
        <v>1858.3411632691225</v>
      </c>
      <c r="V921" s="170">
        <f t="shared" si="136"/>
        <v>0</v>
      </c>
      <c r="W921" s="170"/>
      <c r="X921" s="170"/>
      <c r="Y921" s="173">
        <f t="shared" si="137"/>
        <v>1611.3747288193872</v>
      </c>
      <c r="AA921" s="173">
        <f t="shared" si="138"/>
        <v>660.00388180300001</v>
      </c>
      <c r="AH921" s="173" t="e">
        <f t="shared" si="139"/>
        <v>#N/A</v>
      </c>
      <c r="AS921" s="173" t="e">
        <f t="shared" si="140"/>
        <v>#N/A</v>
      </c>
    </row>
    <row r="922" spans="1:45" s="173" customFormat="1" ht="36" customHeight="1" x14ac:dyDescent="0.9">
      <c r="B922" s="90" t="s">
        <v>903</v>
      </c>
      <c r="C922" s="90"/>
      <c r="D922" s="185" t="s">
        <v>915</v>
      </c>
      <c r="E922" s="185" t="s">
        <v>915</v>
      </c>
      <c r="F922" s="185" t="s">
        <v>915</v>
      </c>
      <c r="G922" s="185" t="s">
        <v>915</v>
      </c>
      <c r="H922" s="185" t="s">
        <v>915</v>
      </c>
      <c r="I922" s="186">
        <f>I923</f>
        <v>1367.9</v>
      </c>
      <c r="J922" s="186">
        <f>J923</f>
        <v>926.7</v>
      </c>
      <c r="K922" s="186">
        <f>K923</f>
        <v>324.89999999999998</v>
      </c>
      <c r="L922" s="187">
        <f>L923</f>
        <v>64</v>
      </c>
      <c r="M922" s="185" t="s">
        <v>915</v>
      </c>
      <c r="N922" s="185" t="s">
        <v>915</v>
      </c>
      <c r="O922" s="188" t="s">
        <v>915</v>
      </c>
      <c r="P922" s="189">
        <v>2957808</v>
      </c>
      <c r="Q922" s="189">
        <f>Q923</f>
        <v>0</v>
      </c>
      <c r="R922" s="189">
        <f>R923</f>
        <v>0</v>
      </c>
      <c r="S922" s="189">
        <f>S923</f>
        <v>2957808</v>
      </c>
      <c r="T922" s="189">
        <f t="shared" si="144"/>
        <v>2162.2984136267269</v>
      </c>
      <c r="U922" s="189">
        <f>U923</f>
        <v>2290.4305870312155</v>
      </c>
      <c r="V922" s="170">
        <f t="shared" si="136"/>
        <v>128.13217340448864</v>
      </c>
      <c r="W922" s="170"/>
      <c r="X922" s="170"/>
      <c r="Y922" s="173" t="e">
        <f t="shared" si="137"/>
        <v>#N/A</v>
      </c>
      <c r="AA922" s="173" t="e">
        <f t="shared" si="138"/>
        <v>#N/A</v>
      </c>
      <c r="AH922" s="173" t="e">
        <f t="shared" si="139"/>
        <v>#N/A</v>
      </c>
      <c r="AS922" s="173" t="e">
        <f t="shared" si="140"/>
        <v>#N/A</v>
      </c>
    </row>
    <row r="923" spans="1:45" s="173" customFormat="1" ht="36" customHeight="1" x14ac:dyDescent="0.9">
      <c r="A923" s="173">
        <v>1</v>
      </c>
      <c r="B923" s="91">
        <f>SUBTOTAL(103,$A$546:A923)</f>
        <v>333</v>
      </c>
      <c r="C923" s="90" t="s">
        <v>157</v>
      </c>
      <c r="D923" s="185">
        <v>1974</v>
      </c>
      <c r="E923" s="185"/>
      <c r="F923" s="191" t="s">
        <v>273</v>
      </c>
      <c r="G923" s="185">
        <v>2</v>
      </c>
      <c r="H923" s="185">
        <v>1</v>
      </c>
      <c r="I923" s="186">
        <v>1367.9</v>
      </c>
      <c r="J923" s="186">
        <v>926.7</v>
      </c>
      <c r="K923" s="186">
        <v>324.89999999999998</v>
      </c>
      <c r="L923" s="187">
        <v>64</v>
      </c>
      <c r="M923" s="185" t="s">
        <v>271</v>
      </c>
      <c r="N923" s="185" t="s">
        <v>275</v>
      </c>
      <c r="O923" s="188" t="s">
        <v>1019</v>
      </c>
      <c r="P923" s="189">
        <v>2957808</v>
      </c>
      <c r="Q923" s="189">
        <v>0</v>
      </c>
      <c r="R923" s="189">
        <v>0</v>
      </c>
      <c r="S923" s="189">
        <f>P923-Q923-R923</f>
        <v>2957808</v>
      </c>
      <c r="T923" s="189">
        <f t="shared" si="144"/>
        <v>2162.2984136267269</v>
      </c>
      <c r="U923" s="189">
        <f>Y923</f>
        <v>2290.4305870312155</v>
      </c>
      <c r="V923" s="170">
        <f t="shared" si="136"/>
        <v>128.13217340448864</v>
      </c>
      <c r="W923" s="170"/>
      <c r="X923" s="170"/>
      <c r="Y923" s="173">
        <f t="shared" si="137"/>
        <v>2290.4305870312155</v>
      </c>
      <c r="AA923" s="173">
        <f t="shared" si="138"/>
        <v>600</v>
      </c>
      <c r="AH923" s="173" t="e">
        <f t="shared" si="139"/>
        <v>#N/A</v>
      </c>
      <c r="AS923" s="173" t="e">
        <f t="shared" si="140"/>
        <v>#N/A</v>
      </c>
    </row>
    <row r="924" spans="1:45" s="173" customFormat="1" ht="36" customHeight="1" x14ac:dyDescent="0.9">
      <c r="B924" s="90" t="s">
        <v>876</v>
      </c>
      <c r="C924" s="90"/>
      <c r="D924" s="185" t="s">
        <v>915</v>
      </c>
      <c r="E924" s="185" t="s">
        <v>915</v>
      </c>
      <c r="F924" s="185" t="s">
        <v>915</v>
      </c>
      <c r="G924" s="185" t="s">
        <v>915</v>
      </c>
      <c r="H924" s="185" t="s">
        <v>915</v>
      </c>
      <c r="I924" s="186">
        <f>I925</f>
        <v>2208.39</v>
      </c>
      <c r="J924" s="186">
        <f>J925</f>
        <v>2056</v>
      </c>
      <c r="K924" s="186">
        <f>K925</f>
        <v>446.69</v>
      </c>
      <c r="L924" s="187">
        <f>L925</f>
        <v>74</v>
      </c>
      <c r="M924" s="185" t="s">
        <v>915</v>
      </c>
      <c r="N924" s="185" t="s">
        <v>915</v>
      </c>
      <c r="O924" s="188" t="s">
        <v>915</v>
      </c>
      <c r="P924" s="189">
        <v>4651054.3499999996</v>
      </c>
      <c r="Q924" s="189">
        <f>Q925</f>
        <v>0</v>
      </c>
      <c r="R924" s="189">
        <f>R925</f>
        <v>0</v>
      </c>
      <c r="S924" s="189">
        <f>S925</f>
        <v>4651054.3499999996</v>
      </c>
      <c r="T924" s="189">
        <f t="shared" si="144"/>
        <v>2106.0837759634846</v>
      </c>
      <c r="U924" s="189">
        <f>T924</f>
        <v>2106.0837759634846</v>
      </c>
      <c r="V924" s="170">
        <f t="shared" si="136"/>
        <v>0</v>
      </c>
      <c r="W924" s="170"/>
      <c r="X924" s="170"/>
      <c r="Y924" s="173" t="e">
        <f t="shared" si="137"/>
        <v>#N/A</v>
      </c>
      <c r="AA924" s="173" t="e">
        <f t="shared" ref="AA924:AA987" si="148">VLOOKUP(C924,AC:AE,2,FALSE)</f>
        <v>#N/A</v>
      </c>
      <c r="AH924" s="173" t="e">
        <f t="shared" ref="AH924:AH987" si="149">VLOOKUP(C924,AJ:AK,2,FALSE)</f>
        <v>#N/A</v>
      </c>
      <c r="AS924" s="173" t="e">
        <f t="shared" ref="AS924:AS987" si="150">VLOOKUP(C924,AU:AV,2,FALSE)</f>
        <v>#N/A</v>
      </c>
    </row>
    <row r="925" spans="1:45" s="173" customFormat="1" ht="36" customHeight="1" x14ac:dyDescent="0.9">
      <c r="A925" s="173">
        <v>1</v>
      </c>
      <c r="B925" s="91">
        <f>SUBTOTAL(103,$A$546:A925)</f>
        <v>334</v>
      </c>
      <c r="C925" s="90" t="s">
        <v>156</v>
      </c>
      <c r="D925" s="185">
        <v>1970</v>
      </c>
      <c r="E925" s="185"/>
      <c r="F925" s="191" t="s">
        <v>273</v>
      </c>
      <c r="G925" s="185">
        <v>5</v>
      </c>
      <c r="H925" s="185">
        <v>4</v>
      </c>
      <c r="I925" s="186">
        <v>2208.39</v>
      </c>
      <c r="J925" s="186">
        <v>2056</v>
      </c>
      <c r="K925" s="186">
        <v>446.69</v>
      </c>
      <c r="L925" s="187">
        <v>74</v>
      </c>
      <c r="M925" s="185" t="s">
        <v>271</v>
      </c>
      <c r="N925" s="185" t="s">
        <v>275</v>
      </c>
      <c r="O925" s="188" t="s">
        <v>295</v>
      </c>
      <c r="P925" s="189">
        <v>4651054.3499999996</v>
      </c>
      <c r="Q925" s="189">
        <v>0</v>
      </c>
      <c r="R925" s="189">
        <v>0</v>
      </c>
      <c r="S925" s="189">
        <f>P925-Q925-R925</f>
        <v>4651054.3499999996</v>
      </c>
      <c r="T925" s="189">
        <f t="shared" si="144"/>
        <v>2106.0837759634846</v>
      </c>
      <c r="U925" s="189">
        <f>T925</f>
        <v>2106.0837759634846</v>
      </c>
      <c r="V925" s="170">
        <f t="shared" si="136"/>
        <v>0</v>
      </c>
      <c r="W925" s="170"/>
      <c r="X925" s="170"/>
      <c r="Y925" s="173">
        <f t="shared" si="137"/>
        <v>1856.154483583063</v>
      </c>
      <c r="AA925" s="173">
        <f t="shared" si="148"/>
        <v>785</v>
      </c>
      <c r="AH925" s="173" t="e">
        <f t="shared" si="149"/>
        <v>#N/A</v>
      </c>
      <c r="AS925" s="173" t="e">
        <f t="shared" si="150"/>
        <v>#N/A</v>
      </c>
    </row>
    <row r="926" spans="1:45" s="173" customFormat="1" ht="36" customHeight="1" x14ac:dyDescent="0.9">
      <c r="B926" s="90" t="s">
        <v>877</v>
      </c>
      <c r="C926" s="90"/>
      <c r="D926" s="185" t="s">
        <v>915</v>
      </c>
      <c r="E926" s="185" t="s">
        <v>915</v>
      </c>
      <c r="F926" s="185" t="s">
        <v>915</v>
      </c>
      <c r="G926" s="185" t="s">
        <v>915</v>
      </c>
      <c r="H926" s="185" t="s">
        <v>915</v>
      </c>
      <c r="I926" s="186">
        <f>I927</f>
        <v>1501</v>
      </c>
      <c r="J926" s="186">
        <f>J927</f>
        <v>442.7</v>
      </c>
      <c r="K926" s="186">
        <f>K927</f>
        <v>358.85</v>
      </c>
      <c r="L926" s="187">
        <f>L927</f>
        <v>32</v>
      </c>
      <c r="M926" s="185" t="s">
        <v>915</v>
      </c>
      <c r="N926" s="185" t="s">
        <v>915</v>
      </c>
      <c r="O926" s="188" t="s">
        <v>915</v>
      </c>
      <c r="P926" s="186">
        <v>3145116.58</v>
      </c>
      <c r="Q926" s="186">
        <f>Q927</f>
        <v>0</v>
      </c>
      <c r="R926" s="186">
        <f>R927</f>
        <v>0</v>
      </c>
      <c r="S926" s="186">
        <f>S927</f>
        <v>3145116.58</v>
      </c>
      <c r="T926" s="189">
        <f t="shared" si="144"/>
        <v>2095.3474883411059</v>
      </c>
      <c r="U926" s="189">
        <f>MAX(U927)</f>
        <v>2095.3472678214521</v>
      </c>
      <c r="V926" s="170">
        <f t="shared" si="136"/>
        <v>-2.2051965379432659E-4</v>
      </c>
      <c r="W926" s="170"/>
      <c r="X926" s="170"/>
      <c r="Y926" s="173" t="e">
        <f t="shared" si="137"/>
        <v>#N/A</v>
      </c>
      <c r="AA926" s="173" t="e">
        <f t="shared" si="148"/>
        <v>#N/A</v>
      </c>
      <c r="AH926" s="173" t="e">
        <f t="shared" si="149"/>
        <v>#N/A</v>
      </c>
      <c r="AS926" s="173" t="e">
        <f t="shared" si="150"/>
        <v>#N/A</v>
      </c>
    </row>
    <row r="927" spans="1:45" s="173" customFormat="1" ht="36" customHeight="1" x14ac:dyDescent="0.9">
      <c r="A927" s="173">
        <v>1</v>
      </c>
      <c r="B927" s="91">
        <f>SUBTOTAL(103,$A$546:A927)</f>
        <v>335</v>
      </c>
      <c r="C927" s="90" t="s">
        <v>155</v>
      </c>
      <c r="D927" s="185">
        <v>1978</v>
      </c>
      <c r="E927" s="185"/>
      <c r="F927" s="191" t="s">
        <v>273</v>
      </c>
      <c r="G927" s="185">
        <v>2</v>
      </c>
      <c r="H927" s="185">
        <v>2</v>
      </c>
      <c r="I927" s="186">
        <v>1501</v>
      </c>
      <c r="J927" s="186">
        <v>442.7</v>
      </c>
      <c r="K927" s="186">
        <v>358.85</v>
      </c>
      <c r="L927" s="187">
        <v>32</v>
      </c>
      <c r="M927" s="185" t="s">
        <v>271</v>
      </c>
      <c r="N927" s="185" t="s">
        <v>275</v>
      </c>
      <c r="O927" s="188" t="s">
        <v>300</v>
      </c>
      <c r="P927" s="189">
        <v>3145116.58</v>
      </c>
      <c r="Q927" s="189">
        <v>0</v>
      </c>
      <c r="R927" s="189">
        <v>0</v>
      </c>
      <c r="S927" s="189">
        <f>P927-Q927-R927</f>
        <v>3145116.58</v>
      </c>
      <c r="T927" s="189">
        <f t="shared" si="144"/>
        <v>2095.3474883411059</v>
      </c>
      <c r="U927" s="189">
        <f>Y927</f>
        <v>2095.3472678214521</v>
      </c>
      <c r="V927" s="170">
        <f t="shared" si="136"/>
        <v>-2.2051965379432659E-4</v>
      </c>
      <c r="W927" s="170"/>
      <c r="X927" s="170"/>
      <c r="Y927" s="173">
        <f t="shared" si="137"/>
        <v>2095.3472678214521</v>
      </c>
      <c r="AA927" s="173">
        <f t="shared" si="148"/>
        <v>602.30499999999995</v>
      </c>
      <c r="AH927" s="173" t="e">
        <f t="shared" si="149"/>
        <v>#N/A</v>
      </c>
      <c r="AS927" s="173" t="e">
        <f t="shared" si="150"/>
        <v>#N/A</v>
      </c>
    </row>
    <row r="928" spans="1:45" s="173" customFormat="1" ht="36" customHeight="1" x14ac:dyDescent="0.9">
      <c r="B928" s="90" t="s">
        <v>878</v>
      </c>
      <c r="C928" s="90"/>
      <c r="D928" s="185" t="s">
        <v>915</v>
      </c>
      <c r="E928" s="185" t="s">
        <v>915</v>
      </c>
      <c r="F928" s="185" t="s">
        <v>915</v>
      </c>
      <c r="G928" s="185" t="s">
        <v>915</v>
      </c>
      <c r="H928" s="185" t="s">
        <v>915</v>
      </c>
      <c r="I928" s="186">
        <f>SUM(I929:I931)</f>
        <v>13728.17</v>
      </c>
      <c r="J928" s="186">
        <f>SUM(J929:J931)</f>
        <v>9270.61</v>
      </c>
      <c r="K928" s="186">
        <f>SUM(K929:K931)</f>
        <v>9270.31</v>
      </c>
      <c r="L928" s="187">
        <f>SUM(L929:L931)</f>
        <v>453</v>
      </c>
      <c r="M928" s="185" t="s">
        <v>915</v>
      </c>
      <c r="N928" s="185" t="s">
        <v>915</v>
      </c>
      <c r="O928" s="188" t="s">
        <v>915</v>
      </c>
      <c r="P928" s="189">
        <v>17099543.050000001</v>
      </c>
      <c r="Q928" s="189">
        <f>SUM(Q929:Q931)</f>
        <v>0</v>
      </c>
      <c r="R928" s="189">
        <f t="shared" ref="R928:S928" si="151">SUM(R929:R931)</f>
        <v>0</v>
      </c>
      <c r="S928" s="189">
        <f t="shared" si="151"/>
        <v>17099543.050000001</v>
      </c>
      <c r="T928" s="189">
        <f t="shared" si="144"/>
        <v>1245.5806600588426</v>
      </c>
      <c r="U928" s="189">
        <f>MAX(U929:U931)</f>
        <v>2489.2224291497978</v>
      </c>
      <c r="V928" s="170">
        <f t="shared" si="136"/>
        <v>1243.6417690909552</v>
      </c>
      <c r="W928" s="170"/>
      <c r="X928" s="170"/>
      <c r="Y928" s="173" t="e">
        <f t="shared" si="137"/>
        <v>#N/A</v>
      </c>
      <c r="AA928" s="173" t="e">
        <f t="shared" si="148"/>
        <v>#N/A</v>
      </c>
      <c r="AH928" s="173" t="e">
        <f t="shared" si="149"/>
        <v>#N/A</v>
      </c>
      <c r="AS928" s="173" t="e">
        <f t="shared" si="150"/>
        <v>#N/A</v>
      </c>
    </row>
    <row r="929" spans="1:194" s="173" customFormat="1" ht="36" customHeight="1" x14ac:dyDescent="0.9">
      <c r="A929" s="173">
        <v>1</v>
      </c>
      <c r="B929" s="91">
        <f>SUBTOTAL(103,$A$546:A929)</f>
        <v>336</v>
      </c>
      <c r="C929" s="90" t="s">
        <v>148</v>
      </c>
      <c r="D929" s="185">
        <v>1989</v>
      </c>
      <c r="E929" s="185"/>
      <c r="F929" s="191" t="s">
        <v>293</v>
      </c>
      <c r="G929" s="185">
        <v>5</v>
      </c>
      <c r="H929" s="185">
        <v>5</v>
      </c>
      <c r="I929" s="186">
        <v>3901.1</v>
      </c>
      <c r="J929" s="186">
        <v>2252.5</v>
      </c>
      <c r="K929" s="186">
        <v>2252.1999999999998</v>
      </c>
      <c r="L929" s="187">
        <v>188</v>
      </c>
      <c r="M929" s="185" t="s">
        <v>271</v>
      </c>
      <c r="N929" s="185" t="s">
        <v>297</v>
      </c>
      <c r="O929" s="188" t="s">
        <v>301</v>
      </c>
      <c r="P929" s="189">
        <v>6391288.3800000008</v>
      </c>
      <c r="Q929" s="189">
        <v>0</v>
      </c>
      <c r="R929" s="189">
        <v>0</v>
      </c>
      <c r="S929" s="189">
        <f>P929-Q929-R929</f>
        <v>6391288.3800000008</v>
      </c>
      <c r="T929" s="189">
        <f t="shared" si="144"/>
        <v>1638.3297992873806</v>
      </c>
      <c r="U929" s="189">
        <f>T929</f>
        <v>1638.3297992873806</v>
      </c>
      <c r="V929" s="170">
        <f t="shared" si="136"/>
        <v>0</v>
      </c>
      <c r="W929" s="170"/>
      <c r="X929" s="170"/>
      <c r="Y929" s="173">
        <f t="shared" si="137"/>
        <v>1474.8094742508524</v>
      </c>
      <c r="AA929" s="173">
        <f t="shared" si="148"/>
        <v>1101.8</v>
      </c>
      <c r="AH929" s="173" t="e">
        <f t="shared" si="149"/>
        <v>#N/A</v>
      </c>
      <c r="AS929" s="173" t="e">
        <f t="shared" si="150"/>
        <v>#N/A</v>
      </c>
    </row>
    <row r="930" spans="1:194" s="173" customFormat="1" ht="36" customHeight="1" x14ac:dyDescent="0.9">
      <c r="A930" s="173">
        <v>1</v>
      </c>
      <c r="B930" s="91">
        <f>SUBTOTAL(103,$A$546:A930)</f>
        <v>337</v>
      </c>
      <c r="C930" s="90" t="s">
        <v>160</v>
      </c>
      <c r="D930" s="185">
        <v>1975</v>
      </c>
      <c r="E930" s="185"/>
      <c r="F930" s="191" t="s">
        <v>293</v>
      </c>
      <c r="G930" s="185">
        <v>5</v>
      </c>
      <c r="H930" s="185">
        <v>8</v>
      </c>
      <c r="I930" s="186">
        <v>8270.9699999999993</v>
      </c>
      <c r="J930" s="186">
        <v>6155.11</v>
      </c>
      <c r="K930" s="186">
        <v>6155.11</v>
      </c>
      <c r="L930" s="187">
        <v>233</v>
      </c>
      <c r="M930" s="185" t="s">
        <v>271</v>
      </c>
      <c r="N930" s="185" t="s">
        <v>275</v>
      </c>
      <c r="O930" s="188" t="s">
        <v>300</v>
      </c>
      <c r="P930" s="189">
        <v>6834775.6500000004</v>
      </c>
      <c r="Q930" s="189">
        <v>0</v>
      </c>
      <c r="R930" s="189">
        <v>0</v>
      </c>
      <c r="S930" s="189">
        <f>P930-Q930-R930</f>
        <v>6834775.6500000004</v>
      </c>
      <c r="T930" s="189">
        <f t="shared" si="144"/>
        <v>826.35720477767427</v>
      </c>
      <c r="U930" s="189">
        <f>Y930</f>
        <v>973.43266025629407</v>
      </c>
      <c r="V930" s="170">
        <f t="shared" si="136"/>
        <v>147.0754554786198</v>
      </c>
      <c r="W930" s="170"/>
      <c r="X930" s="170"/>
      <c r="Y930" s="173">
        <f t="shared" si="137"/>
        <v>973.43266025629407</v>
      </c>
      <c r="AA930" s="173">
        <f t="shared" si="148"/>
        <v>1541.85</v>
      </c>
      <c r="AH930" s="173" t="e">
        <f t="shared" si="149"/>
        <v>#N/A</v>
      </c>
      <c r="AS930" s="173" t="e">
        <f t="shared" si="150"/>
        <v>#N/A</v>
      </c>
    </row>
    <row r="931" spans="1:194" s="142" customFormat="1" ht="36" customHeight="1" x14ac:dyDescent="0.9">
      <c r="A931" s="173">
        <v>1</v>
      </c>
      <c r="B931" s="91">
        <f>SUBTOTAL(103,$A$546:A931)</f>
        <v>338</v>
      </c>
      <c r="C931" s="201" t="s">
        <v>161</v>
      </c>
      <c r="D931" s="185">
        <v>1979</v>
      </c>
      <c r="E931" s="185"/>
      <c r="F931" s="203" t="s">
        <v>273</v>
      </c>
      <c r="G931" s="185">
        <v>2</v>
      </c>
      <c r="H931" s="185">
        <v>3</v>
      </c>
      <c r="I931" s="186">
        <v>1556.1</v>
      </c>
      <c r="J931" s="186">
        <v>863</v>
      </c>
      <c r="K931" s="186">
        <v>863</v>
      </c>
      <c r="L931" s="202">
        <v>32</v>
      </c>
      <c r="M931" s="185" t="s">
        <v>271</v>
      </c>
      <c r="N931" s="185" t="s">
        <v>275</v>
      </c>
      <c r="O931" s="185" t="s">
        <v>300</v>
      </c>
      <c r="P931" s="186">
        <v>3873479.02</v>
      </c>
      <c r="Q931" s="186">
        <v>0</v>
      </c>
      <c r="R931" s="186">
        <v>0</v>
      </c>
      <c r="S931" s="186">
        <f>P931-Q931-R931</f>
        <v>3873479.02</v>
      </c>
      <c r="T931" s="189">
        <f t="shared" si="144"/>
        <v>2489.2224278645331</v>
      </c>
      <c r="U931" s="189">
        <f>Y931</f>
        <v>2489.2224291497978</v>
      </c>
      <c r="V931" s="170">
        <f t="shared" si="136"/>
        <v>1.2852647159888875E-6</v>
      </c>
      <c r="W931" s="170"/>
      <c r="X931" s="170"/>
      <c r="Y931" s="173">
        <f t="shared" si="137"/>
        <v>2489.2224291497978</v>
      </c>
      <c r="AA931" s="173">
        <f t="shared" si="148"/>
        <v>741.79</v>
      </c>
      <c r="AH931" s="173" t="e">
        <f t="shared" si="149"/>
        <v>#N/A</v>
      </c>
      <c r="AS931" s="173" t="e">
        <f t="shared" si="150"/>
        <v>#N/A</v>
      </c>
      <c r="DT931" s="144"/>
      <c r="DU931" s="144"/>
      <c r="DV931" s="144"/>
      <c r="EJ931" s="145"/>
      <c r="ES931" s="146"/>
      <c r="FV931" s="147"/>
      <c r="GL931" s="148"/>
    </row>
    <row r="932" spans="1:194" s="173" customFormat="1" ht="36" customHeight="1" x14ac:dyDescent="0.9">
      <c r="B932" s="90" t="s">
        <v>879</v>
      </c>
      <c r="C932" s="192"/>
      <c r="D932" s="185" t="s">
        <v>915</v>
      </c>
      <c r="E932" s="185" t="s">
        <v>915</v>
      </c>
      <c r="F932" s="185" t="s">
        <v>915</v>
      </c>
      <c r="G932" s="185" t="s">
        <v>915</v>
      </c>
      <c r="H932" s="185" t="s">
        <v>915</v>
      </c>
      <c r="I932" s="186">
        <f>SUM(I933:I935)</f>
        <v>4664.58</v>
      </c>
      <c r="J932" s="186">
        <f>SUM(J933:J935)</f>
        <v>3946.58</v>
      </c>
      <c r="K932" s="186">
        <f>SUM(K933:K935)</f>
        <v>3632.2</v>
      </c>
      <c r="L932" s="187">
        <f>SUM(L933:L935)</f>
        <v>158</v>
      </c>
      <c r="M932" s="185" t="s">
        <v>915</v>
      </c>
      <c r="N932" s="185" t="s">
        <v>915</v>
      </c>
      <c r="O932" s="188" t="s">
        <v>915</v>
      </c>
      <c r="P932" s="189">
        <v>11170130.879999999</v>
      </c>
      <c r="Q932" s="189">
        <f>SUM(Q933:Q935)</f>
        <v>0</v>
      </c>
      <c r="R932" s="189">
        <f t="shared" ref="R932:S932" si="152">SUM(R933:R935)</f>
        <v>0</v>
      </c>
      <c r="S932" s="189">
        <f t="shared" si="152"/>
        <v>11170130.879999999</v>
      </c>
      <c r="T932" s="189">
        <f t="shared" si="144"/>
        <v>2394.6702339760491</v>
      </c>
      <c r="U932" s="189">
        <f>MAX(U933:U935)</f>
        <v>29658.561655716163</v>
      </c>
      <c r="V932" s="170">
        <f t="shared" ref="V932:V995" si="153">U932-T932</f>
        <v>27263.891421740114</v>
      </c>
      <c r="W932" s="170"/>
      <c r="X932" s="170"/>
      <c r="Y932" s="173" t="e">
        <f t="shared" ref="Y932:Y995" si="154">AA932*5221.8/I932</f>
        <v>#N/A</v>
      </c>
      <c r="AA932" s="173" t="e">
        <f t="shared" si="148"/>
        <v>#N/A</v>
      </c>
      <c r="AH932" s="173" t="e">
        <f t="shared" si="149"/>
        <v>#N/A</v>
      </c>
      <c r="AS932" s="173" t="e">
        <f t="shared" si="150"/>
        <v>#N/A</v>
      </c>
    </row>
    <row r="933" spans="1:194" s="173" customFormat="1" ht="36" customHeight="1" x14ac:dyDescent="0.9">
      <c r="A933" s="173">
        <v>1</v>
      </c>
      <c r="B933" s="91">
        <f>SUBTOTAL(103,$A$546:A933)</f>
        <v>339</v>
      </c>
      <c r="C933" s="90" t="s">
        <v>97</v>
      </c>
      <c r="D933" s="185">
        <v>1967</v>
      </c>
      <c r="E933" s="185"/>
      <c r="F933" s="191" t="s">
        <v>273</v>
      </c>
      <c r="G933" s="185">
        <v>2</v>
      </c>
      <c r="H933" s="185">
        <v>2</v>
      </c>
      <c r="I933" s="186">
        <v>987</v>
      </c>
      <c r="J933" s="186">
        <v>915.8</v>
      </c>
      <c r="K933" s="186">
        <v>915.8</v>
      </c>
      <c r="L933" s="187">
        <v>33</v>
      </c>
      <c r="M933" s="185" t="s">
        <v>271</v>
      </c>
      <c r="N933" s="185" t="s">
        <v>275</v>
      </c>
      <c r="O933" s="188" t="s">
        <v>288</v>
      </c>
      <c r="P933" s="189">
        <v>4020786</v>
      </c>
      <c r="Q933" s="189">
        <v>0</v>
      </c>
      <c r="R933" s="189">
        <v>0</v>
      </c>
      <c r="S933" s="189">
        <f>P933-Q933-R933</f>
        <v>4020786</v>
      </c>
      <c r="T933" s="189">
        <f t="shared" si="144"/>
        <v>4073.744680851064</v>
      </c>
      <c r="U933" s="189">
        <f>Y933</f>
        <v>4073.744680851064</v>
      </c>
      <c r="V933" s="170">
        <f t="shared" si="153"/>
        <v>0</v>
      </c>
      <c r="W933" s="170"/>
      <c r="X933" s="170"/>
      <c r="Y933" s="173">
        <f t="shared" si="154"/>
        <v>4073.744680851064</v>
      </c>
      <c r="AA933" s="173">
        <f t="shared" si="148"/>
        <v>770</v>
      </c>
      <c r="AH933" s="173" t="e">
        <f t="shared" si="149"/>
        <v>#N/A</v>
      </c>
      <c r="AS933" s="173" t="e">
        <f t="shared" si="150"/>
        <v>#N/A</v>
      </c>
    </row>
    <row r="934" spans="1:194" s="173" customFormat="1" ht="36" customHeight="1" x14ac:dyDescent="0.9">
      <c r="A934" s="173">
        <v>1</v>
      </c>
      <c r="B934" s="91">
        <f>SUBTOTAL(103,$A$546:A934)</f>
        <v>340</v>
      </c>
      <c r="C934" s="90" t="s">
        <v>96</v>
      </c>
      <c r="D934" s="185">
        <v>1971</v>
      </c>
      <c r="E934" s="185"/>
      <c r="F934" s="191" t="s">
        <v>273</v>
      </c>
      <c r="G934" s="185">
        <v>5</v>
      </c>
      <c r="H934" s="185">
        <v>4</v>
      </c>
      <c r="I934" s="186">
        <v>3414.98</v>
      </c>
      <c r="J934" s="186">
        <v>2878.58</v>
      </c>
      <c r="K934" s="186">
        <v>2564.1999999999998</v>
      </c>
      <c r="L934" s="187">
        <v>115</v>
      </c>
      <c r="M934" s="185" t="s">
        <v>271</v>
      </c>
      <c r="N934" s="185" t="s">
        <v>275</v>
      </c>
      <c r="O934" s="188" t="s">
        <v>286</v>
      </c>
      <c r="P934" s="189">
        <v>5002484.3999999994</v>
      </c>
      <c r="Q934" s="189">
        <v>0</v>
      </c>
      <c r="R934" s="189">
        <v>0</v>
      </c>
      <c r="S934" s="189">
        <f>P934-Q934-R934</f>
        <v>5002484.3999999994</v>
      </c>
      <c r="T934" s="189">
        <f t="shared" si="144"/>
        <v>1464.8649186818077</v>
      </c>
      <c r="U934" s="189">
        <f>Y934</f>
        <v>1464.8649186818079</v>
      </c>
      <c r="V934" s="170">
        <f t="shared" si="153"/>
        <v>0</v>
      </c>
      <c r="W934" s="170"/>
      <c r="X934" s="170"/>
      <c r="Y934" s="173">
        <f t="shared" si="154"/>
        <v>1464.8649186818079</v>
      </c>
      <c r="AA934" s="173">
        <f t="shared" si="148"/>
        <v>958</v>
      </c>
      <c r="AH934" s="173" t="e">
        <f t="shared" si="149"/>
        <v>#N/A</v>
      </c>
      <c r="AS934" s="173" t="e">
        <f t="shared" si="150"/>
        <v>#N/A</v>
      </c>
    </row>
    <row r="935" spans="1:194" s="173" customFormat="1" ht="36" customHeight="1" x14ac:dyDescent="0.9">
      <c r="A935" s="173">
        <v>1</v>
      </c>
      <c r="B935" s="91">
        <f>SUBTOTAL(103,$A$546:A935)</f>
        <v>341</v>
      </c>
      <c r="C935" s="90" t="s">
        <v>1292</v>
      </c>
      <c r="D935" s="185">
        <v>1917</v>
      </c>
      <c r="E935" s="185"/>
      <c r="F935" s="191" t="s">
        <v>273</v>
      </c>
      <c r="G935" s="185">
        <v>2</v>
      </c>
      <c r="H935" s="185">
        <v>1</v>
      </c>
      <c r="I935" s="189">
        <v>262.60000000000002</v>
      </c>
      <c r="J935" s="189">
        <v>152.19999999999999</v>
      </c>
      <c r="K935" s="189">
        <v>152.19999999999999</v>
      </c>
      <c r="L935" s="187">
        <v>10</v>
      </c>
      <c r="M935" s="185" t="s">
        <v>271</v>
      </c>
      <c r="N935" s="185" t="s">
        <v>272</v>
      </c>
      <c r="O935" s="188" t="s">
        <v>274</v>
      </c>
      <c r="P935" s="189">
        <v>2146860.48</v>
      </c>
      <c r="Q935" s="189">
        <v>0</v>
      </c>
      <c r="R935" s="189">
        <v>0</v>
      </c>
      <c r="S935" s="189">
        <f>P935-Q935-R935</f>
        <v>2146860.48</v>
      </c>
      <c r="T935" s="189">
        <f t="shared" si="144"/>
        <v>8175.4016755521698</v>
      </c>
      <c r="U935" s="189">
        <f>AG935</f>
        <v>29658.561655716163</v>
      </c>
      <c r="V935" s="170">
        <f t="shared" si="153"/>
        <v>21483.159980163993</v>
      </c>
      <c r="W935" s="170"/>
      <c r="X935" s="170"/>
      <c r="Y935" s="173" t="e">
        <f t="shared" si="154"/>
        <v>#N/A</v>
      </c>
      <c r="AA935" s="173" t="e">
        <f t="shared" si="148"/>
        <v>#N/A</v>
      </c>
      <c r="AC935" s="173" t="s">
        <v>593</v>
      </c>
      <c r="AD935" s="173">
        <v>917.7</v>
      </c>
      <c r="AG935" s="173">
        <f>AH935*6191.24/J935</f>
        <v>29658.561655716163</v>
      </c>
      <c r="AH935" s="173">
        <f t="shared" si="149"/>
        <v>729.1</v>
      </c>
      <c r="AS935" s="173" t="e">
        <f t="shared" si="150"/>
        <v>#N/A</v>
      </c>
    </row>
    <row r="936" spans="1:194" s="173" customFormat="1" ht="36" customHeight="1" x14ac:dyDescent="0.9">
      <c r="B936" s="90" t="s">
        <v>880</v>
      </c>
      <c r="C936" s="90"/>
      <c r="D936" s="185" t="s">
        <v>915</v>
      </c>
      <c r="E936" s="185" t="s">
        <v>915</v>
      </c>
      <c r="F936" s="185" t="s">
        <v>915</v>
      </c>
      <c r="G936" s="185" t="s">
        <v>915</v>
      </c>
      <c r="H936" s="185" t="s">
        <v>915</v>
      </c>
      <c r="I936" s="186">
        <f>I937</f>
        <v>708.1</v>
      </c>
      <c r="J936" s="186">
        <f>J937</f>
        <v>650.9</v>
      </c>
      <c r="K936" s="186">
        <f>K937</f>
        <v>650.9</v>
      </c>
      <c r="L936" s="187">
        <f>L937</f>
        <v>43</v>
      </c>
      <c r="M936" s="185" t="s">
        <v>915</v>
      </c>
      <c r="N936" s="185" t="s">
        <v>915</v>
      </c>
      <c r="O936" s="188" t="s">
        <v>915</v>
      </c>
      <c r="P936" s="189">
        <v>3080862</v>
      </c>
      <c r="Q936" s="189">
        <f>Q937</f>
        <v>0</v>
      </c>
      <c r="R936" s="189">
        <f>R937</f>
        <v>0</v>
      </c>
      <c r="S936" s="189">
        <f>S937</f>
        <v>3080862</v>
      </c>
      <c r="T936" s="189">
        <f t="shared" si="144"/>
        <v>4350.8854681542152</v>
      </c>
      <c r="U936" s="189">
        <f>U937</f>
        <v>4350.8854681542152</v>
      </c>
      <c r="V936" s="170">
        <f t="shared" si="153"/>
        <v>0</v>
      </c>
      <c r="W936" s="170"/>
      <c r="X936" s="170"/>
      <c r="Y936" s="173" t="e">
        <f t="shared" si="154"/>
        <v>#N/A</v>
      </c>
      <c r="AA936" s="173" t="e">
        <f t="shared" si="148"/>
        <v>#N/A</v>
      </c>
      <c r="AH936" s="173" t="e">
        <f t="shared" si="149"/>
        <v>#N/A</v>
      </c>
      <c r="AS936" s="173" t="e">
        <f t="shared" si="150"/>
        <v>#N/A</v>
      </c>
    </row>
    <row r="937" spans="1:194" s="173" customFormat="1" ht="36" customHeight="1" x14ac:dyDescent="0.9">
      <c r="A937" s="173">
        <v>1</v>
      </c>
      <c r="B937" s="91">
        <f>SUBTOTAL(103,$A$546:A937)</f>
        <v>342</v>
      </c>
      <c r="C937" s="90" t="s">
        <v>98</v>
      </c>
      <c r="D937" s="185">
        <v>1969</v>
      </c>
      <c r="E937" s="185"/>
      <c r="F937" s="191" t="s">
        <v>273</v>
      </c>
      <c r="G937" s="185">
        <v>2</v>
      </c>
      <c r="H937" s="185">
        <v>2</v>
      </c>
      <c r="I937" s="186">
        <v>708.1</v>
      </c>
      <c r="J937" s="186">
        <v>650.9</v>
      </c>
      <c r="K937" s="186">
        <v>650.9</v>
      </c>
      <c r="L937" s="187">
        <v>43</v>
      </c>
      <c r="M937" s="185" t="s">
        <v>271</v>
      </c>
      <c r="N937" s="185" t="s">
        <v>275</v>
      </c>
      <c r="O937" s="188" t="s">
        <v>1020</v>
      </c>
      <c r="P937" s="189">
        <v>3080862</v>
      </c>
      <c r="Q937" s="189">
        <v>0</v>
      </c>
      <c r="R937" s="189">
        <v>0</v>
      </c>
      <c r="S937" s="189">
        <f>P937-Q937-R937</f>
        <v>3080862</v>
      </c>
      <c r="T937" s="189">
        <f t="shared" si="144"/>
        <v>4350.8854681542152</v>
      </c>
      <c r="U937" s="189">
        <f>Y937</f>
        <v>4350.8854681542152</v>
      </c>
      <c r="V937" s="170">
        <f t="shared" si="153"/>
        <v>0</v>
      </c>
      <c r="W937" s="170"/>
      <c r="X937" s="170"/>
      <c r="Y937" s="173">
        <f t="shared" si="154"/>
        <v>4350.8854681542152</v>
      </c>
      <c r="AA937" s="173">
        <f t="shared" si="148"/>
        <v>590</v>
      </c>
      <c r="AH937" s="173" t="e">
        <f t="shared" si="149"/>
        <v>#N/A</v>
      </c>
      <c r="AS937" s="173" t="e">
        <f t="shared" si="150"/>
        <v>#N/A</v>
      </c>
    </row>
    <row r="938" spans="1:194" s="173" customFormat="1" ht="36" customHeight="1" x14ac:dyDescent="0.9">
      <c r="B938" s="90" t="s">
        <v>904</v>
      </c>
      <c r="C938" s="90"/>
      <c r="D938" s="185" t="s">
        <v>915</v>
      </c>
      <c r="E938" s="185" t="s">
        <v>915</v>
      </c>
      <c r="F938" s="185" t="s">
        <v>915</v>
      </c>
      <c r="G938" s="185" t="s">
        <v>915</v>
      </c>
      <c r="H938" s="185" t="s">
        <v>915</v>
      </c>
      <c r="I938" s="186">
        <f>I939</f>
        <v>788.3</v>
      </c>
      <c r="J938" s="186">
        <f>J939</f>
        <v>726.9</v>
      </c>
      <c r="K938" s="186">
        <f>K939</f>
        <v>726.9</v>
      </c>
      <c r="L938" s="187">
        <f>L939</f>
        <v>20</v>
      </c>
      <c r="M938" s="185" t="s">
        <v>915</v>
      </c>
      <c r="N938" s="185" t="s">
        <v>915</v>
      </c>
      <c r="O938" s="188" t="s">
        <v>915</v>
      </c>
      <c r="P938" s="189">
        <v>3655260</v>
      </c>
      <c r="Q938" s="189">
        <f>Q939</f>
        <v>0</v>
      </c>
      <c r="R938" s="189">
        <f>R939</f>
        <v>0</v>
      </c>
      <c r="S938" s="189">
        <f>S939</f>
        <v>3655260</v>
      </c>
      <c r="T938" s="189">
        <f t="shared" si="144"/>
        <v>4636.8895090701508</v>
      </c>
      <c r="U938" s="189">
        <f>U939</f>
        <v>4636.8895090701508</v>
      </c>
      <c r="V938" s="170">
        <f t="shared" si="153"/>
        <v>0</v>
      </c>
      <c r="W938" s="170"/>
      <c r="X938" s="170"/>
      <c r="Y938" s="173" t="e">
        <f t="shared" si="154"/>
        <v>#N/A</v>
      </c>
      <c r="AA938" s="173" t="e">
        <f t="shared" si="148"/>
        <v>#N/A</v>
      </c>
      <c r="AH938" s="173" t="e">
        <f t="shared" si="149"/>
        <v>#N/A</v>
      </c>
      <c r="AS938" s="173" t="e">
        <f t="shared" si="150"/>
        <v>#N/A</v>
      </c>
    </row>
    <row r="939" spans="1:194" s="173" customFormat="1" ht="36" customHeight="1" x14ac:dyDescent="0.9">
      <c r="A939" s="173">
        <v>1</v>
      </c>
      <c r="B939" s="91">
        <f>SUBTOTAL(103,$A$546:A939)</f>
        <v>343</v>
      </c>
      <c r="C939" s="90" t="s">
        <v>99</v>
      </c>
      <c r="D939" s="185">
        <v>1972</v>
      </c>
      <c r="E939" s="185"/>
      <c r="F939" s="191" t="s">
        <v>273</v>
      </c>
      <c r="G939" s="185">
        <v>2</v>
      </c>
      <c r="H939" s="185">
        <v>2</v>
      </c>
      <c r="I939" s="186">
        <v>788.3</v>
      </c>
      <c r="J939" s="186">
        <v>726.9</v>
      </c>
      <c r="K939" s="186">
        <v>726.9</v>
      </c>
      <c r="L939" s="187">
        <v>20</v>
      </c>
      <c r="M939" s="185" t="s">
        <v>271</v>
      </c>
      <c r="N939" s="185" t="s">
        <v>289</v>
      </c>
      <c r="O939" s="188" t="s">
        <v>274</v>
      </c>
      <c r="P939" s="189">
        <v>3655260</v>
      </c>
      <c r="Q939" s="189">
        <v>0</v>
      </c>
      <c r="R939" s="189">
        <v>0</v>
      </c>
      <c r="S939" s="189">
        <f>P939-Q939-R939</f>
        <v>3655260</v>
      </c>
      <c r="T939" s="189">
        <f t="shared" si="144"/>
        <v>4636.8895090701508</v>
      </c>
      <c r="U939" s="189">
        <f>Y939</f>
        <v>4636.8895090701508</v>
      </c>
      <c r="V939" s="170">
        <f t="shared" si="153"/>
        <v>0</v>
      </c>
      <c r="W939" s="170"/>
      <c r="X939" s="170"/>
      <c r="Y939" s="173">
        <f t="shared" si="154"/>
        <v>4636.8895090701508</v>
      </c>
      <c r="AA939" s="173">
        <f t="shared" si="148"/>
        <v>700</v>
      </c>
      <c r="AH939" s="173" t="e">
        <f t="shared" si="149"/>
        <v>#N/A</v>
      </c>
      <c r="AS939" s="173" t="e">
        <f t="shared" si="150"/>
        <v>#N/A</v>
      </c>
    </row>
    <row r="940" spans="1:194" s="173" customFormat="1" ht="36" customHeight="1" x14ac:dyDescent="0.9">
      <c r="B940" s="90" t="s">
        <v>882</v>
      </c>
      <c r="C940" s="90"/>
      <c r="D940" s="185" t="s">
        <v>915</v>
      </c>
      <c r="E940" s="185" t="s">
        <v>915</v>
      </c>
      <c r="F940" s="185" t="s">
        <v>915</v>
      </c>
      <c r="G940" s="185" t="s">
        <v>915</v>
      </c>
      <c r="H940" s="185" t="s">
        <v>915</v>
      </c>
      <c r="I940" s="186">
        <f>I941</f>
        <v>707.1</v>
      </c>
      <c r="J940" s="186">
        <f>J941</f>
        <v>649.5</v>
      </c>
      <c r="K940" s="186">
        <f>K941</f>
        <v>649.5</v>
      </c>
      <c r="L940" s="187">
        <f>L941</f>
        <v>32</v>
      </c>
      <c r="M940" s="185" t="s">
        <v>915</v>
      </c>
      <c r="N940" s="185" t="s">
        <v>915</v>
      </c>
      <c r="O940" s="188" t="s">
        <v>915</v>
      </c>
      <c r="P940" s="189">
        <v>3080862</v>
      </c>
      <c r="Q940" s="189">
        <f>Q941</f>
        <v>0</v>
      </c>
      <c r="R940" s="189">
        <f>R941</f>
        <v>0</v>
      </c>
      <c r="S940" s="189">
        <f>S941</f>
        <v>3080862</v>
      </c>
      <c r="T940" s="189">
        <f t="shared" si="144"/>
        <v>4357.0386084005086</v>
      </c>
      <c r="U940" s="189">
        <f>U941</f>
        <v>4357.0386084005086</v>
      </c>
      <c r="V940" s="170">
        <f t="shared" si="153"/>
        <v>0</v>
      </c>
      <c r="W940" s="170"/>
      <c r="X940" s="170"/>
      <c r="Y940" s="173" t="e">
        <f t="shared" si="154"/>
        <v>#N/A</v>
      </c>
      <c r="AA940" s="173" t="e">
        <f t="shared" si="148"/>
        <v>#N/A</v>
      </c>
      <c r="AH940" s="173" t="e">
        <f t="shared" si="149"/>
        <v>#N/A</v>
      </c>
      <c r="AS940" s="173" t="e">
        <f t="shared" si="150"/>
        <v>#N/A</v>
      </c>
    </row>
    <row r="941" spans="1:194" s="173" customFormat="1" ht="36" customHeight="1" x14ac:dyDescent="0.9">
      <c r="A941" s="173">
        <v>1</v>
      </c>
      <c r="B941" s="91">
        <f>SUBTOTAL(103,$A$546:A941)</f>
        <v>344</v>
      </c>
      <c r="C941" s="90" t="s">
        <v>100</v>
      </c>
      <c r="D941" s="185">
        <v>1971</v>
      </c>
      <c r="E941" s="185"/>
      <c r="F941" s="191" t="s">
        <v>273</v>
      </c>
      <c r="G941" s="185">
        <v>2</v>
      </c>
      <c r="H941" s="185">
        <v>2</v>
      </c>
      <c r="I941" s="186">
        <v>707.1</v>
      </c>
      <c r="J941" s="186">
        <v>649.5</v>
      </c>
      <c r="K941" s="186">
        <v>649.5</v>
      </c>
      <c r="L941" s="187">
        <v>32</v>
      </c>
      <c r="M941" s="185" t="s">
        <v>271</v>
      </c>
      <c r="N941" s="185" t="s">
        <v>275</v>
      </c>
      <c r="O941" s="188" t="s">
        <v>288</v>
      </c>
      <c r="P941" s="189">
        <v>3080862</v>
      </c>
      <c r="Q941" s="189">
        <v>0</v>
      </c>
      <c r="R941" s="189">
        <v>0</v>
      </c>
      <c r="S941" s="189">
        <f>P941-Q941-R941</f>
        <v>3080862</v>
      </c>
      <c r="T941" s="189">
        <f t="shared" si="144"/>
        <v>4357.0386084005086</v>
      </c>
      <c r="U941" s="189">
        <f>Y941</f>
        <v>4357.0386084005086</v>
      </c>
      <c r="V941" s="170">
        <f t="shared" si="153"/>
        <v>0</v>
      </c>
      <c r="W941" s="170"/>
      <c r="X941" s="170"/>
      <c r="Y941" s="173">
        <f t="shared" si="154"/>
        <v>4357.0386084005086</v>
      </c>
      <c r="AA941" s="173">
        <f t="shared" si="148"/>
        <v>590</v>
      </c>
      <c r="AH941" s="173" t="e">
        <f t="shared" si="149"/>
        <v>#N/A</v>
      </c>
      <c r="AS941" s="173" t="e">
        <f t="shared" si="150"/>
        <v>#N/A</v>
      </c>
    </row>
    <row r="942" spans="1:194" s="173" customFormat="1" ht="36" customHeight="1" x14ac:dyDescent="0.9">
      <c r="B942" s="90" t="s">
        <v>883</v>
      </c>
      <c r="C942" s="192"/>
      <c r="D942" s="185" t="s">
        <v>915</v>
      </c>
      <c r="E942" s="185" t="s">
        <v>915</v>
      </c>
      <c r="F942" s="185" t="s">
        <v>915</v>
      </c>
      <c r="G942" s="185" t="s">
        <v>915</v>
      </c>
      <c r="H942" s="185" t="s">
        <v>915</v>
      </c>
      <c r="I942" s="186">
        <f>SUM(I943:I945)</f>
        <v>2386.1999999999998</v>
      </c>
      <c r="J942" s="186">
        <f>SUM(J943:J945)</f>
        <v>1601.9</v>
      </c>
      <c r="K942" s="186">
        <f>SUM(K943:K945)</f>
        <v>1428.6999999999998</v>
      </c>
      <c r="L942" s="187">
        <f>SUM(L943:L945)</f>
        <v>70</v>
      </c>
      <c r="M942" s="185" t="s">
        <v>915</v>
      </c>
      <c r="N942" s="185" t="s">
        <v>915</v>
      </c>
      <c r="O942" s="188" t="s">
        <v>915</v>
      </c>
      <c r="P942" s="189">
        <v>7774419.2400000002</v>
      </c>
      <c r="Q942" s="189">
        <f>Q943+Q944+Q945</f>
        <v>0</v>
      </c>
      <c r="R942" s="189">
        <f>R943+R944+R945</f>
        <v>0</v>
      </c>
      <c r="S942" s="189">
        <f>S943+S944+S945</f>
        <v>7774419.2400000002</v>
      </c>
      <c r="T942" s="189">
        <f t="shared" si="144"/>
        <v>3258.0752828765403</v>
      </c>
      <c r="U942" s="189">
        <f>MAX(U943:U945)</f>
        <v>7114.9292011755279</v>
      </c>
      <c r="V942" s="170">
        <f t="shared" si="153"/>
        <v>3856.8539182989875</v>
      </c>
      <c r="W942" s="170"/>
      <c r="X942" s="170"/>
      <c r="Y942" s="173" t="e">
        <f t="shared" si="154"/>
        <v>#N/A</v>
      </c>
      <c r="AA942" s="173" t="e">
        <f t="shared" si="148"/>
        <v>#N/A</v>
      </c>
      <c r="AH942" s="173" t="e">
        <f t="shared" si="149"/>
        <v>#N/A</v>
      </c>
      <c r="AS942" s="173" t="e">
        <f t="shared" si="150"/>
        <v>#N/A</v>
      </c>
    </row>
    <row r="943" spans="1:194" s="173" customFormat="1" ht="36" customHeight="1" x14ac:dyDescent="0.9">
      <c r="A943" s="173">
        <v>1</v>
      </c>
      <c r="B943" s="91">
        <f>SUBTOTAL(103,$A$546:A943)</f>
        <v>345</v>
      </c>
      <c r="C943" s="90" t="s">
        <v>193</v>
      </c>
      <c r="D943" s="185" t="s">
        <v>317</v>
      </c>
      <c r="E943" s="185"/>
      <c r="F943" s="191" t="s">
        <v>273</v>
      </c>
      <c r="G943" s="185" t="s">
        <v>311</v>
      </c>
      <c r="H943" s="185" t="s">
        <v>311</v>
      </c>
      <c r="I943" s="186">
        <v>953.3</v>
      </c>
      <c r="J943" s="186">
        <v>579.1</v>
      </c>
      <c r="K943" s="186">
        <v>542.29999999999995</v>
      </c>
      <c r="L943" s="187">
        <v>23</v>
      </c>
      <c r="M943" s="185" t="s">
        <v>271</v>
      </c>
      <c r="N943" s="185" t="s">
        <v>272</v>
      </c>
      <c r="O943" s="188" t="s">
        <v>274</v>
      </c>
      <c r="P943" s="189">
        <v>3549600</v>
      </c>
      <c r="Q943" s="189">
        <v>0</v>
      </c>
      <c r="R943" s="189">
        <v>0</v>
      </c>
      <c r="S943" s="189">
        <f>P943-Q943-R943</f>
        <v>3549600</v>
      </c>
      <c r="T943" s="189">
        <f t="shared" si="144"/>
        <v>3723.4868352040285</v>
      </c>
      <c r="U943" s="189">
        <f>Y943</f>
        <v>3812.4124619741956</v>
      </c>
      <c r="V943" s="170">
        <f t="shared" si="153"/>
        <v>88.925626770167128</v>
      </c>
      <c r="W943" s="170"/>
      <c r="X943" s="170"/>
      <c r="Y943" s="173">
        <f t="shared" si="154"/>
        <v>3812.4124619741956</v>
      </c>
      <c r="AA943" s="173">
        <f t="shared" si="148"/>
        <v>696</v>
      </c>
      <c r="AH943" s="173" t="e">
        <f t="shared" si="149"/>
        <v>#N/A</v>
      </c>
      <c r="AS943" s="173" t="e">
        <f t="shared" si="150"/>
        <v>#N/A</v>
      </c>
    </row>
    <row r="944" spans="1:194" s="173" customFormat="1" ht="36" customHeight="1" x14ac:dyDescent="0.9">
      <c r="A944" s="173">
        <v>1</v>
      </c>
      <c r="B944" s="91">
        <f>SUBTOTAL(103,$A$546:A944)</f>
        <v>346</v>
      </c>
      <c r="C944" s="90" t="s">
        <v>194</v>
      </c>
      <c r="D944" s="185" t="s">
        <v>310</v>
      </c>
      <c r="E944" s="185"/>
      <c r="F944" s="191" t="s">
        <v>273</v>
      </c>
      <c r="G944" s="185" t="s">
        <v>311</v>
      </c>
      <c r="H944" s="185" t="s">
        <v>316</v>
      </c>
      <c r="I944" s="186">
        <v>374.3</v>
      </c>
      <c r="J944" s="186">
        <v>369</v>
      </c>
      <c r="K944" s="186">
        <v>278.10000000000002</v>
      </c>
      <c r="L944" s="187">
        <v>16</v>
      </c>
      <c r="M944" s="185" t="s">
        <v>271</v>
      </c>
      <c r="N944" s="185" t="s">
        <v>272</v>
      </c>
      <c r="O944" s="188" t="s">
        <v>274</v>
      </c>
      <c r="P944" s="189">
        <v>2601000</v>
      </c>
      <c r="Q944" s="189">
        <v>0</v>
      </c>
      <c r="R944" s="189">
        <v>0</v>
      </c>
      <c r="S944" s="189">
        <f>P944-Q944-R944</f>
        <v>2601000</v>
      </c>
      <c r="T944" s="189">
        <f t="shared" si="144"/>
        <v>6948.9714133048356</v>
      </c>
      <c r="U944" s="189">
        <f>Y944</f>
        <v>7114.9292011755279</v>
      </c>
      <c r="V944" s="170">
        <f t="shared" si="153"/>
        <v>165.9577878706923</v>
      </c>
      <c r="W944" s="170"/>
      <c r="X944" s="170"/>
      <c r="Y944" s="173">
        <f t="shared" si="154"/>
        <v>7114.9292011755279</v>
      </c>
      <c r="AA944" s="173">
        <f t="shared" si="148"/>
        <v>510</v>
      </c>
      <c r="AH944" s="173" t="e">
        <f t="shared" si="149"/>
        <v>#N/A</v>
      </c>
      <c r="AS944" s="173" t="e">
        <f t="shared" si="150"/>
        <v>#N/A</v>
      </c>
    </row>
    <row r="945" spans="1:45" s="173" customFormat="1" ht="36" customHeight="1" x14ac:dyDescent="0.9">
      <c r="A945" s="173">
        <v>1</v>
      </c>
      <c r="B945" s="91">
        <f>SUBTOTAL(103,$A$546:A945)</f>
        <v>347</v>
      </c>
      <c r="C945" s="90" t="s">
        <v>195</v>
      </c>
      <c r="D945" s="185" t="s">
        <v>315</v>
      </c>
      <c r="E945" s="185"/>
      <c r="F945" s="191" t="s">
        <v>326</v>
      </c>
      <c r="G945" s="185" t="s">
        <v>311</v>
      </c>
      <c r="H945" s="185" t="s">
        <v>312</v>
      </c>
      <c r="I945" s="186">
        <v>1058.5999999999999</v>
      </c>
      <c r="J945" s="186">
        <v>653.79999999999995</v>
      </c>
      <c r="K945" s="186">
        <v>608.29999999999995</v>
      </c>
      <c r="L945" s="187">
        <v>31</v>
      </c>
      <c r="M945" s="185" t="s">
        <v>271</v>
      </c>
      <c r="N945" s="185" t="s">
        <v>272</v>
      </c>
      <c r="O945" s="188" t="s">
        <v>274</v>
      </c>
      <c r="P945" s="189">
        <v>1623819.24</v>
      </c>
      <c r="Q945" s="189">
        <v>0</v>
      </c>
      <c r="R945" s="189">
        <v>0</v>
      </c>
      <c r="S945" s="189">
        <f>P945-Q945-R945</f>
        <v>1623819.24</v>
      </c>
      <c r="T945" s="189">
        <f t="shared" si="144"/>
        <v>1533.930889854525</v>
      </c>
      <c r="U945" s="189">
        <f>AG945</f>
        <v>5028.3702049556441</v>
      </c>
      <c r="V945" s="170">
        <f t="shared" si="153"/>
        <v>3494.4393151011191</v>
      </c>
      <c r="W945" s="170"/>
      <c r="X945" s="170"/>
      <c r="Y945" s="173" t="e">
        <f t="shared" si="154"/>
        <v>#N/A</v>
      </c>
      <c r="AA945" s="173" t="e">
        <f t="shared" si="148"/>
        <v>#N/A</v>
      </c>
      <c r="AG945" s="173">
        <f>AH945*6191.24/J945</f>
        <v>5028.3702049556441</v>
      </c>
      <c r="AH945" s="173">
        <f t="shared" si="149"/>
        <v>531</v>
      </c>
      <c r="AS945" s="173" t="e">
        <f t="shared" si="150"/>
        <v>#N/A</v>
      </c>
    </row>
    <row r="946" spans="1:45" s="173" customFormat="1" ht="36" customHeight="1" x14ac:dyDescent="0.9">
      <c r="B946" s="90" t="s">
        <v>885</v>
      </c>
      <c r="C946" s="90"/>
      <c r="D946" s="185" t="s">
        <v>915</v>
      </c>
      <c r="E946" s="185" t="s">
        <v>915</v>
      </c>
      <c r="F946" s="185" t="s">
        <v>915</v>
      </c>
      <c r="G946" s="185" t="s">
        <v>915</v>
      </c>
      <c r="H946" s="185" t="s">
        <v>915</v>
      </c>
      <c r="I946" s="186">
        <f>I947</f>
        <v>834.7</v>
      </c>
      <c r="J946" s="186">
        <f>J947</f>
        <v>476.3</v>
      </c>
      <c r="K946" s="186">
        <f>K947</f>
        <v>476.3</v>
      </c>
      <c r="L946" s="187">
        <f>L947</f>
        <v>54</v>
      </c>
      <c r="M946" s="185" t="s">
        <v>915</v>
      </c>
      <c r="N946" s="185" t="s">
        <v>915</v>
      </c>
      <c r="O946" s="188" t="s">
        <v>915</v>
      </c>
      <c r="P946" s="189">
        <v>4275483</v>
      </c>
      <c r="Q946" s="189">
        <f>Q947</f>
        <v>0</v>
      </c>
      <c r="R946" s="189">
        <f>R947</f>
        <v>0</v>
      </c>
      <c r="S946" s="189">
        <f>S947</f>
        <v>4275483</v>
      </c>
      <c r="T946" s="189">
        <f t="shared" si="144"/>
        <v>5122.1792260692464</v>
      </c>
      <c r="U946" s="189">
        <f>U947</f>
        <v>5244.5089181741951</v>
      </c>
      <c r="V946" s="170">
        <f t="shared" si="153"/>
        <v>122.32969210494866</v>
      </c>
      <c r="W946" s="170"/>
      <c r="X946" s="170"/>
      <c r="Y946" s="173" t="e">
        <f t="shared" si="154"/>
        <v>#N/A</v>
      </c>
      <c r="AA946" s="173" t="e">
        <f t="shared" si="148"/>
        <v>#N/A</v>
      </c>
      <c r="AH946" s="173" t="e">
        <f t="shared" si="149"/>
        <v>#N/A</v>
      </c>
      <c r="AS946" s="173" t="e">
        <f t="shared" si="150"/>
        <v>#N/A</v>
      </c>
    </row>
    <row r="947" spans="1:45" s="173" customFormat="1" ht="36" customHeight="1" x14ac:dyDescent="0.9">
      <c r="A947" s="173">
        <v>1</v>
      </c>
      <c r="B947" s="91">
        <f>SUBTOTAL(103,$A$546:A947)</f>
        <v>348</v>
      </c>
      <c r="C947" s="90" t="s">
        <v>197</v>
      </c>
      <c r="D947" s="185" t="s">
        <v>318</v>
      </c>
      <c r="E947" s="185"/>
      <c r="F947" s="191" t="s">
        <v>319</v>
      </c>
      <c r="G947" s="185" t="s">
        <v>311</v>
      </c>
      <c r="H947" s="185" t="s">
        <v>320</v>
      </c>
      <c r="I947" s="186">
        <v>834.7</v>
      </c>
      <c r="J947" s="186">
        <v>476.3</v>
      </c>
      <c r="K947" s="186">
        <v>476.3</v>
      </c>
      <c r="L947" s="187">
        <v>54</v>
      </c>
      <c r="M947" s="185" t="s">
        <v>271</v>
      </c>
      <c r="N947" s="185" t="s">
        <v>272</v>
      </c>
      <c r="O947" s="188" t="s">
        <v>274</v>
      </c>
      <c r="P947" s="189">
        <v>4275483</v>
      </c>
      <c r="Q947" s="189">
        <v>0</v>
      </c>
      <c r="R947" s="189">
        <v>0</v>
      </c>
      <c r="S947" s="189">
        <f>P947-Q947-R947</f>
        <v>4275483</v>
      </c>
      <c r="T947" s="189">
        <f t="shared" si="144"/>
        <v>5122.1792260692464</v>
      </c>
      <c r="U947" s="189">
        <f>Y947</f>
        <v>5244.5089181741951</v>
      </c>
      <c r="V947" s="170">
        <f t="shared" si="153"/>
        <v>122.32969210494866</v>
      </c>
      <c r="W947" s="170"/>
      <c r="X947" s="170"/>
      <c r="Y947" s="173">
        <f t="shared" si="154"/>
        <v>5244.5089181741951</v>
      </c>
      <c r="AA947" s="173">
        <f t="shared" si="148"/>
        <v>838.33</v>
      </c>
      <c r="AH947" s="173" t="e">
        <f t="shared" si="149"/>
        <v>#N/A</v>
      </c>
      <c r="AS947" s="173" t="e">
        <f t="shared" si="150"/>
        <v>#N/A</v>
      </c>
    </row>
    <row r="948" spans="1:45" s="173" customFormat="1" ht="36" customHeight="1" x14ac:dyDescent="0.9">
      <c r="B948" s="90" t="s">
        <v>887</v>
      </c>
      <c r="C948" s="192"/>
      <c r="D948" s="185" t="s">
        <v>915</v>
      </c>
      <c r="E948" s="185" t="s">
        <v>915</v>
      </c>
      <c r="F948" s="185" t="s">
        <v>915</v>
      </c>
      <c r="G948" s="185" t="s">
        <v>915</v>
      </c>
      <c r="H948" s="185" t="s">
        <v>915</v>
      </c>
      <c r="I948" s="186">
        <f>I949+I950</f>
        <v>2424.8000000000002</v>
      </c>
      <c r="J948" s="186">
        <f>J949+J950</f>
        <v>2129.6</v>
      </c>
      <c r="K948" s="186">
        <f>K949+K950</f>
        <v>1714.8000000000002</v>
      </c>
      <c r="L948" s="187">
        <f>L949+L950</f>
        <v>86</v>
      </c>
      <c r="M948" s="185" t="s">
        <v>915</v>
      </c>
      <c r="N948" s="185" t="s">
        <v>915</v>
      </c>
      <c r="O948" s="188" t="s">
        <v>915</v>
      </c>
      <c r="P948" s="189">
        <v>9113700</v>
      </c>
      <c r="Q948" s="189">
        <f>Q949+Q950</f>
        <v>0</v>
      </c>
      <c r="R948" s="189">
        <f>R949+R950</f>
        <v>0</v>
      </c>
      <c r="S948" s="189">
        <f>S949+S950</f>
        <v>9113700</v>
      </c>
      <c r="T948" s="189">
        <f t="shared" si="144"/>
        <v>3758.5367865390958</v>
      </c>
      <c r="U948" s="189">
        <f>MAX(U949:U950)</f>
        <v>4068.2113127001066</v>
      </c>
      <c r="V948" s="170">
        <f t="shared" si="153"/>
        <v>309.67452616101082</v>
      </c>
      <c r="W948" s="170"/>
      <c r="X948" s="170"/>
      <c r="Y948" s="173" t="e">
        <f t="shared" si="154"/>
        <v>#N/A</v>
      </c>
      <c r="AA948" s="173" t="e">
        <f t="shared" si="148"/>
        <v>#N/A</v>
      </c>
      <c r="AH948" s="173" t="e">
        <f t="shared" si="149"/>
        <v>#N/A</v>
      </c>
      <c r="AS948" s="173" t="e">
        <f t="shared" si="150"/>
        <v>#N/A</v>
      </c>
    </row>
    <row r="949" spans="1:45" s="173" customFormat="1" ht="36" customHeight="1" x14ac:dyDescent="0.9">
      <c r="A949" s="173">
        <v>1</v>
      </c>
      <c r="B949" s="91">
        <f>SUBTOTAL(103,$A$546:A949)</f>
        <v>349</v>
      </c>
      <c r="C949" s="90" t="s">
        <v>216</v>
      </c>
      <c r="D949" s="185">
        <v>1938</v>
      </c>
      <c r="E949" s="185"/>
      <c r="F949" s="191" t="s">
        <v>273</v>
      </c>
      <c r="G949" s="185">
        <v>3</v>
      </c>
      <c r="H949" s="185">
        <v>4</v>
      </c>
      <c r="I949" s="186">
        <v>1675.2</v>
      </c>
      <c r="J949" s="186">
        <v>1444.2</v>
      </c>
      <c r="K949" s="186">
        <v>1029.4000000000001</v>
      </c>
      <c r="L949" s="187">
        <v>57</v>
      </c>
      <c r="M949" s="185" t="s">
        <v>271</v>
      </c>
      <c r="N949" s="185" t="s">
        <v>272</v>
      </c>
      <c r="O949" s="188" t="s">
        <v>274</v>
      </c>
      <c r="P949" s="189">
        <v>6135300</v>
      </c>
      <c r="Q949" s="189">
        <v>0</v>
      </c>
      <c r="R949" s="189">
        <v>0</v>
      </c>
      <c r="S949" s="189">
        <f>P949-Q949-R949</f>
        <v>6135300</v>
      </c>
      <c r="T949" s="189">
        <f t="shared" si="144"/>
        <v>3662.4283667621776</v>
      </c>
      <c r="U949" s="189">
        <f>Y949</f>
        <v>3749.8957736389684</v>
      </c>
      <c r="V949" s="170">
        <f t="shared" si="153"/>
        <v>87.467406876790847</v>
      </c>
      <c r="W949" s="170"/>
      <c r="X949" s="170"/>
      <c r="Y949" s="173">
        <f t="shared" si="154"/>
        <v>3749.8957736389684</v>
      </c>
      <c r="AA949" s="173">
        <f t="shared" si="148"/>
        <v>1203</v>
      </c>
      <c r="AH949" s="173" t="e">
        <f t="shared" si="149"/>
        <v>#N/A</v>
      </c>
      <c r="AS949" s="173" t="e">
        <f t="shared" si="150"/>
        <v>#N/A</v>
      </c>
    </row>
    <row r="950" spans="1:45" s="173" customFormat="1" ht="36" customHeight="1" x14ac:dyDescent="0.9">
      <c r="A950" s="173">
        <v>1</v>
      </c>
      <c r="B950" s="91">
        <f>SUBTOTAL(103,$A$546:A950)</f>
        <v>350</v>
      </c>
      <c r="C950" s="90" t="s">
        <v>217</v>
      </c>
      <c r="D950" s="185">
        <v>1974</v>
      </c>
      <c r="E950" s="185"/>
      <c r="F950" s="191" t="s">
        <v>273</v>
      </c>
      <c r="G950" s="185">
        <v>2</v>
      </c>
      <c r="H950" s="185">
        <v>2</v>
      </c>
      <c r="I950" s="186">
        <v>749.6</v>
      </c>
      <c r="J950" s="186">
        <v>685.4</v>
      </c>
      <c r="K950" s="186">
        <v>685.4</v>
      </c>
      <c r="L950" s="187">
        <v>29</v>
      </c>
      <c r="M950" s="185" t="s">
        <v>271</v>
      </c>
      <c r="N950" s="185" t="s">
        <v>275</v>
      </c>
      <c r="O950" s="188" t="s">
        <v>340</v>
      </c>
      <c r="P950" s="189">
        <v>2978400</v>
      </c>
      <c r="Q950" s="189">
        <v>0</v>
      </c>
      <c r="R950" s="189">
        <v>0</v>
      </c>
      <c r="S950" s="189">
        <f>P950-Q950-R950</f>
        <v>2978400</v>
      </c>
      <c r="T950" s="189">
        <f t="shared" si="144"/>
        <v>3973.3191035218783</v>
      </c>
      <c r="U950" s="189">
        <f>Y950</f>
        <v>4068.2113127001066</v>
      </c>
      <c r="V950" s="170">
        <f t="shared" si="153"/>
        <v>94.892209178228313</v>
      </c>
      <c r="W950" s="170"/>
      <c r="X950" s="170"/>
      <c r="Y950" s="173">
        <f t="shared" si="154"/>
        <v>4068.2113127001066</v>
      </c>
      <c r="AA950" s="173">
        <f t="shared" si="148"/>
        <v>584</v>
      </c>
      <c r="AH950" s="173" t="e">
        <f t="shared" si="149"/>
        <v>#N/A</v>
      </c>
      <c r="AS950" s="173" t="e">
        <f t="shared" si="150"/>
        <v>#N/A</v>
      </c>
    </row>
    <row r="951" spans="1:45" s="173" customFormat="1" ht="36" customHeight="1" x14ac:dyDescent="0.9">
      <c r="B951" s="90" t="s">
        <v>888</v>
      </c>
      <c r="C951" s="90"/>
      <c r="D951" s="185" t="s">
        <v>915</v>
      </c>
      <c r="E951" s="185" t="s">
        <v>915</v>
      </c>
      <c r="F951" s="185" t="s">
        <v>915</v>
      </c>
      <c r="G951" s="185" t="s">
        <v>915</v>
      </c>
      <c r="H951" s="185" t="s">
        <v>915</v>
      </c>
      <c r="I951" s="186">
        <f>I952</f>
        <v>813.6</v>
      </c>
      <c r="J951" s="186">
        <f>J952</f>
        <v>752.3</v>
      </c>
      <c r="K951" s="186">
        <f>K952</f>
        <v>752.3</v>
      </c>
      <c r="L951" s="187">
        <f>L952</f>
        <v>16</v>
      </c>
      <c r="M951" s="185" t="s">
        <v>915</v>
      </c>
      <c r="N951" s="185" t="s">
        <v>915</v>
      </c>
      <c r="O951" s="188" t="s">
        <v>915</v>
      </c>
      <c r="P951" s="189">
        <v>3498600</v>
      </c>
      <c r="Q951" s="189">
        <f>Q952</f>
        <v>0</v>
      </c>
      <c r="R951" s="189">
        <f>R952</f>
        <v>0</v>
      </c>
      <c r="S951" s="189">
        <f>S952</f>
        <v>3498600</v>
      </c>
      <c r="T951" s="189">
        <f t="shared" si="144"/>
        <v>4300.1474926253686</v>
      </c>
      <c r="U951" s="189">
        <f>U952</f>
        <v>4402.8451327433631</v>
      </c>
      <c r="V951" s="170">
        <f t="shared" si="153"/>
        <v>102.69764011799452</v>
      </c>
      <c r="W951" s="170"/>
      <c r="X951" s="170"/>
      <c r="Y951" s="173" t="e">
        <f t="shared" si="154"/>
        <v>#N/A</v>
      </c>
      <c r="AA951" s="173" t="e">
        <f t="shared" si="148"/>
        <v>#N/A</v>
      </c>
      <c r="AH951" s="173" t="e">
        <f t="shared" si="149"/>
        <v>#N/A</v>
      </c>
      <c r="AS951" s="173" t="e">
        <f t="shared" si="150"/>
        <v>#N/A</v>
      </c>
    </row>
    <row r="952" spans="1:45" s="173" customFormat="1" ht="36" customHeight="1" x14ac:dyDescent="0.9">
      <c r="A952" s="173">
        <v>1</v>
      </c>
      <c r="B952" s="91">
        <f>SUBTOTAL(103,$A$546:A952)</f>
        <v>351</v>
      </c>
      <c r="C952" s="90" t="s">
        <v>229</v>
      </c>
      <c r="D952" s="185">
        <v>1973</v>
      </c>
      <c r="E952" s="185"/>
      <c r="F952" s="191" t="s">
        <v>273</v>
      </c>
      <c r="G952" s="185">
        <v>2</v>
      </c>
      <c r="H952" s="185">
        <v>2</v>
      </c>
      <c r="I952" s="186">
        <v>813.6</v>
      </c>
      <c r="J952" s="186">
        <v>752.3</v>
      </c>
      <c r="K952" s="186">
        <v>752.3</v>
      </c>
      <c r="L952" s="187">
        <v>16</v>
      </c>
      <c r="M952" s="185" t="s">
        <v>271</v>
      </c>
      <c r="N952" s="185" t="s">
        <v>272</v>
      </c>
      <c r="O952" s="188" t="s">
        <v>274</v>
      </c>
      <c r="P952" s="189">
        <v>3498600</v>
      </c>
      <c r="Q952" s="189">
        <v>0</v>
      </c>
      <c r="R952" s="189">
        <v>0</v>
      </c>
      <c r="S952" s="189">
        <f>P952-Q952-R952</f>
        <v>3498600</v>
      </c>
      <c r="T952" s="189">
        <f t="shared" si="144"/>
        <v>4300.1474926253686</v>
      </c>
      <c r="U952" s="189">
        <f>Y952</f>
        <v>4402.8451327433631</v>
      </c>
      <c r="V952" s="170">
        <f t="shared" si="153"/>
        <v>102.69764011799452</v>
      </c>
      <c r="W952" s="170"/>
      <c r="X952" s="170"/>
      <c r="Y952" s="173">
        <f t="shared" si="154"/>
        <v>4402.8451327433631</v>
      </c>
      <c r="AA952" s="173">
        <f t="shared" si="148"/>
        <v>686</v>
      </c>
      <c r="AH952" s="173" t="e">
        <f t="shared" si="149"/>
        <v>#N/A</v>
      </c>
      <c r="AS952" s="173" t="e">
        <f t="shared" si="150"/>
        <v>#N/A</v>
      </c>
    </row>
    <row r="953" spans="1:45" s="173" customFormat="1" ht="36" customHeight="1" x14ac:dyDescent="0.9">
      <c r="B953" s="90" t="s">
        <v>890</v>
      </c>
      <c r="C953" s="90"/>
      <c r="D953" s="185" t="s">
        <v>915</v>
      </c>
      <c r="E953" s="185" t="s">
        <v>915</v>
      </c>
      <c r="F953" s="185" t="s">
        <v>915</v>
      </c>
      <c r="G953" s="185" t="s">
        <v>915</v>
      </c>
      <c r="H953" s="185" t="s">
        <v>915</v>
      </c>
      <c r="I953" s="186">
        <f>I954</f>
        <v>791.9</v>
      </c>
      <c r="J953" s="186">
        <f>J954</f>
        <v>736.9</v>
      </c>
      <c r="K953" s="186">
        <f>K954</f>
        <v>695.3</v>
      </c>
      <c r="L953" s="187">
        <f>L954</f>
        <v>22</v>
      </c>
      <c r="M953" s="185" t="s">
        <v>915</v>
      </c>
      <c r="N953" s="185" t="s">
        <v>915</v>
      </c>
      <c r="O953" s="188" t="s">
        <v>915</v>
      </c>
      <c r="P953" s="189">
        <v>3230340</v>
      </c>
      <c r="Q953" s="189">
        <f>Q954</f>
        <v>0</v>
      </c>
      <c r="R953" s="189">
        <f>R954</f>
        <v>0</v>
      </c>
      <c r="S953" s="189">
        <f>S954</f>
        <v>3230340</v>
      </c>
      <c r="T953" s="189">
        <f t="shared" si="144"/>
        <v>4079.2271751483772</v>
      </c>
      <c r="U953" s="189">
        <f>U954</f>
        <v>4176.6487182725095</v>
      </c>
      <c r="V953" s="170">
        <f t="shared" si="153"/>
        <v>97.421543124132313</v>
      </c>
      <c r="W953" s="170"/>
      <c r="X953" s="170"/>
      <c r="Y953" s="173" t="e">
        <f t="shared" si="154"/>
        <v>#N/A</v>
      </c>
      <c r="AA953" s="173" t="e">
        <f t="shared" si="148"/>
        <v>#N/A</v>
      </c>
      <c r="AH953" s="173" t="e">
        <f t="shared" si="149"/>
        <v>#N/A</v>
      </c>
      <c r="AS953" s="173" t="e">
        <f t="shared" si="150"/>
        <v>#N/A</v>
      </c>
    </row>
    <row r="954" spans="1:45" s="173" customFormat="1" ht="36" customHeight="1" x14ac:dyDescent="0.9">
      <c r="A954" s="173">
        <v>1</v>
      </c>
      <c r="B954" s="91">
        <f>SUBTOTAL(103,$A$546:A954)</f>
        <v>352</v>
      </c>
      <c r="C954" s="90" t="s">
        <v>223</v>
      </c>
      <c r="D954" s="185">
        <v>1979</v>
      </c>
      <c r="E954" s="185"/>
      <c r="F954" s="191" t="s">
        <v>273</v>
      </c>
      <c r="G954" s="185">
        <v>2</v>
      </c>
      <c r="H954" s="185">
        <v>2</v>
      </c>
      <c r="I954" s="186">
        <v>791.9</v>
      </c>
      <c r="J954" s="186">
        <v>736.9</v>
      </c>
      <c r="K954" s="186">
        <v>695.3</v>
      </c>
      <c r="L954" s="187">
        <v>22</v>
      </c>
      <c r="M954" s="185" t="s">
        <v>271</v>
      </c>
      <c r="N954" s="185" t="s">
        <v>272</v>
      </c>
      <c r="O954" s="188" t="s">
        <v>274</v>
      </c>
      <c r="P954" s="189">
        <v>3230340</v>
      </c>
      <c r="Q954" s="189">
        <v>0</v>
      </c>
      <c r="R954" s="189">
        <v>0</v>
      </c>
      <c r="S954" s="189">
        <f>P954-Q954-R954</f>
        <v>3230340</v>
      </c>
      <c r="T954" s="189">
        <f t="shared" si="144"/>
        <v>4079.2271751483772</v>
      </c>
      <c r="U954" s="189">
        <f>Y954</f>
        <v>4176.6487182725095</v>
      </c>
      <c r="V954" s="170">
        <f t="shared" si="153"/>
        <v>97.421543124132313</v>
      </c>
      <c r="W954" s="170"/>
      <c r="X954" s="170"/>
      <c r="Y954" s="173">
        <f t="shared" si="154"/>
        <v>4176.6487182725095</v>
      </c>
      <c r="AA954" s="173">
        <f t="shared" si="148"/>
        <v>633.4</v>
      </c>
      <c r="AH954" s="173" t="e">
        <f t="shared" si="149"/>
        <v>#N/A</v>
      </c>
      <c r="AS954" s="173" t="e">
        <f t="shared" si="150"/>
        <v>#N/A</v>
      </c>
    </row>
    <row r="955" spans="1:45" s="173" customFormat="1" ht="36" customHeight="1" x14ac:dyDescent="0.9">
      <c r="B955" s="90" t="s">
        <v>780</v>
      </c>
      <c r="C955" s="184"/>
      <c r="D955" s="185" t="s">
        <v>915</v>
      </c>
      <c r="E955" s="185" t="s">
        <v>915</v>
      </c>
      <c r="F955" s="185" t="s">
        <v>915</v>
      </c>
      <c r="G955" s="185" t="s">
        <v>915</v>
      </c>
      <c r="H955" s="185" t="s">
        <v>915</v>
      </c>
      <c r="I955" s="186">
        <f>I956+I1015+I1030+I1057+I1069+I1072+I1081+I1085+I1088+I1091+I1093+I1095+I1098+I1100+I1102+I1110+I1113+I1115+I1117+I1119+I1122+I1125+I1127+I1129+I1131+I1138+I1141+I1145+I1148+I1150+I1154+I1156+I1158+I1160+I1162+I1164+I1166+I1170+I1172+I1174+I1176+I1180+I1182+I1184+I1186+I1189+I1192+I1196+I1201+I1204+I1206+I1208+I1211+I1215+I1217+I1219+I1221+I1225</f>
        <v>508181.36000000004</v>
      </c>
      <c r="J955" s="186">
        <f>J956+J1015+J1030+J1057+J1069+J1072+J1081+J1085+J1088+J1091+J1093+J1095+J1098+J1100+J1102+J1110+J1113+J1115+J1117+J1119+J1122+J1125+J1127+J1129+J1131+J1138+J1141+J1145+J1148+J1150+J1154+J1156+J1158+J1160+J1162+J1164+J1166+J1170+J1172+J1174+J1176+J1180+J1182+J1184+J1186+J1189+J1192+J1196+J1201+J1204+J1206+J1208+J1211+J1215+J1217+J1219+J1221+J1225</f>
        <v>436670.51999999979</v>
      </c>
      <c r="K955" s="186">
        <f>K956+K1015+K1030+K1057+K1069+K1072+K1081+K1085+K1088+K1091+K1093+K1095+K1098+K1100+K1102+K1110+K1113+K1115+K1117+K1119+K1122+K1125+K1127+K1129+K1131+K1138+K1141+K1145+K1148+K1150+K1154+K1156+K1158+K1160+K1162+K1164+K1166+K1170+K1172+K1174+K1176+K1180+K1182+K1184+K1186+K1189+K1192+K1196+K1201+K1204+K1206+K1208+K1211+K1215+K1217+K1219+K1221+K1225</f>
        <v>366590.61999999994</v>
      </c>
      <c r="L955" s="187">
        <f>L956+L1015+L1030+L1057+L1069+L1072+L1081+L1085+L1088+L1091+L1093+L1095+L1098+L1100+L1102+L1110+L1113+L1115+L1117+L1119+L1122+L1125+L1127+L1129+L1131+L1138+L1141+L1145+L1148+L1150+L1154+L1156+L1158+L1160+L1162+L1164+L1166+L1170+L1172+L1174+L1176+L1180+L1182+L1184+L1186+L1189+L1192+L1196+L1201+L1204+L1206+L1208+L1211+L1215+L1217+L1219+L1221+L1225</f>
        <v>19397</v>
      </c>
      <c r="M955" s="185" t="s">
        <v>915</v>
      </c>
      <c r="N955" s="185" t="s">
        <v>915</v>
      </c>
      <c r="O955" s="188" t="s">
        <v>915</v>
      </c>
      <c r="P955" s="186">
        <v>787616479.89000022</v>
      </c>
      <c r="Q955" s="186">
        <f>Q956+Q1015+Q1030+Q1057+Q1069+Q1072+Q1081+Q1085+Q1088+Q1091+Q1093+Q1095+Q1098+Q1100+Q1102+Q1110+Q1113+Q1115+Q1117+Q1119+Q1122+Q1125+Q1127+Q1129+Q1131+Q1138+Q1141+Q1145+Q1148+Q1150+Q1154+Q1156+Q1158+Q1160+Q1162+Q1164+Q1166+Q1170+Q1172+Q1174+Q1176+Q1180+Q1182+Q1184+Q1186+Q1189+Q1192+Q1196+Q1201+Q1204+Q1206+Q1208+Q1211+Q1215+Q1217+Q1219+Q1221+Q1225</f>
        <v>0</v>
      </c>
      <c r="R955" s="186">
        <f>R956+R1015+R1030+R1057+R1069+R1072+R1081+R1085+R1088+R1091+R1093+R1095+R1098+R1100+R1102+R1110+R1113+R1115+R1117+R1119+R1122+R1125+R1127+R1129+R1131+R1138+R1141+R1145+R1148+R1150+R1154+R1156+R1158+R1160+R1162+R1164+R1166+R1170+R1172+R1174+R1176+R1180+R1182+R1184+R1186+R1189+R1192+R1196+R1201+R1204+R1206+R1208+R1211+R1215+R1217+R1219+R1221+R1225</f>
        <v>1851570.68</v>
      </c>
      <c r="S955" s="186">
        <f>S956+S1015+S1030+S1057+S1069+S1072+S1081+S1085+S1088+S1091+S1093+S1095+S1098+S1100+S1102+S1110+S1113+S1115+S1117+S1119+S1122+S1125+S1127+S1129+S1131+S1138+S1141+S1145+S1148+S1150+S1154+S1156+S1158+S1160+S1162+S1164+S1166+S1170+S1172+S1174+S1176+S1180+S1182+S1184+S1186+S1189+S1192+S1196+S1201+S1204+S1206+S1208+S1211+S1215+S1217+S1219+S1221+S1225</f>
        <v>785764909.21000028</v>
      </c>
      <c r="T955" s="189">
        <f t="shared" si="144"/>
        <v>1549.8728247136025</v>
      </c>
      <c r="U955" s="189">
        <f>MAX(U956:U1226)</f>
        <v>27692.673949579832</v>
      </c>
      <c r="V955" s="170">
        <f t="shared" si="153"/>
        <v>26142.80112486623</v>
      </c>
      <c r="W955" s="170"/>
      <c r="X955" s="170"/>
      <c r="Y955" s="173" t="e">
        <f t="shared" si="154"/>
        <v>#N/A</v>
      </c>
      <c r="AA955" s="173" t="e">
        <f t="shared" si="148"/>
        <v>#N/A</v>
      </c>
      <c r="AH955" s="173" t="e">
        <f t="shared" si="149"/>
        <v>#N/A</v>
      </c>
      <c r="AS955" s="173" t="e">
        <f t="shared" si="150"/>
        <v>#N/A</v>
      </c>
    </row>
    <row r="956" spans="1:45" s="173" customFormat="1" ht="36" customHeight="1" x14ac:dyDescent="0.9">
      <c r="B956" s="90" t="s">
        <v>1117</v>
      </c>
      <c r="C956" s="192"/>
      <c r="D956" s="185" t="s">
        <v>915</v>
      </c>
      <c r="E956" s="185" t="s">
        <v>915</v>
      </c>
      <c r="F956" s="185" t="s">
        <v>915</v>
      </c>
      <c r="G956" s="185" t="s">
        <v>915</v>
      </c>
      <c r="H956" s="185" t="s">
        <v>915</v>
      </c>
      <c r="I956" s="186">
        <f>SUM(I957:I1014)</f>
        <v>198913.88999999996</v>
      </c>
      <c r="J956" s="186">
        <f>SUM(J957:J1014)</f>
        <v>194043.42999999996</v>
      </c>
      <c r="K956" s="186">
        <f>SUM(K957:K1014)</f>
        <v>146073.29999999993</v>
      </c>
      <c r="L956" s="187">
        <f>SUM(L957:L1014)</f>
        <v>7986</v>
      </c>
      <c r="M956" s="185" t="s">
        <v>915</v>
      </c>
      <c r="N956" s="185" t="s">
        <v>915</v>
      </c>
      <c r="O956" s="188" t="s">
        <v>915</v>
      </c>
      <c r="P956" s="186">
        <v>218247138.05000004</v>
      </c>
      <c r="Q956" s="186">
        <f>SUM(Q957:Q1014)</f>
        <v>0</v>
      </c>
      <c r="R956" s="186">
        <f>SUM(R957:R1014)</f>
        <v>0</v>
      </c>
      <c r="S956" s="186">
        <f>SUM(S957:S1014)</f>
        <v>218247138.05000004</v>
      </c>
      <c r="T956" s="189">
        <f t="shared" si="144"/>
        <v>1097.1940574386238</v>
      </c>
      <c r="U956" s="189">
        <f>MAX(U957:U1013)</f>
        <v>6475.5598989048021</v>
      </c>
      <c r="V956" s="170">
        <f t="shared" si="153"/>
        <v>5378.3658414661786</v>
      </c>
      <c r="W956" s="170"/>
      <c r="X956" s="170"/>
      <c r="Y956" s="173" t="e">
        <f t="shared" si="154"/>
        <v>#N/A</v>
      </c>
      <c r="AA956" s="173" t="e">
        <f t="shared" si="148"/>
        <v>#N/A</v>
      </c>
      <c r="AH956" s="173" t="e">
        <f t="shared" si="149"/>
        <v>#N/A</v>
      </c>
      <c r="AS956" s="173" t="e">
        <f t="shared" si="150"/>
        <v>#N/A</v>
      </c>
    </row>
    <row r="957" spans="1:45" s="173" customFormat="1" ht="36" customHeight="1" x14ac:dyDescent="0.9">
      <c r="A957" s="173">
        <v>1</v>
      </c>
      <c r="B957" s="91">
        <f>SUBTOTAL(103,$A957:A$957)</f>
        <v>1</v>
      </c>
      <c r="C957" s="90" t="s">
        <v>580</v>
      </c>
      <c r="D957" s="185">
        <v>1958</v>
      </c>
      <c r="E957" s="185"/>
      <c r="F957" s="191" t="s">
        <v>273</v>
      </c>
      <c r="G957" s="185">
        <v>2</v>
      </c>
      <c r="H957" s="185">
        <v>2</v>
      </c>
      <c r="I957" s="186">
        <v>593.5</v>
      </c>
      <c r="J957" s="186">
        <v>548.79999999999995</v>
      </c>
      <c r="K957" s="186">
        <v>511.1</v>
      </c>
      <c r="L957" s="187">
        <v>26</v>
      </c>
      <c r="M957" s="185" t="s">
        <v>271</v>
      </c>
      <c r="N957" s="185" t="s">
        <v>275</v>
      </c>
      <c r="O957" s="188" t="s">
        <v>1410</v>
      </c>
      <c r="P957" s="189">
        <v>3147713.25</v>
      </c>
      <c r="Q957" s="189">
        <v>0</v>
      </c>
      <c r="R957" s="189">
        <v>0</v>
      </c>
      <c r="S957" s="189">
        <f t="shared" ref="S957:S1014" si="155">P957-Q957-R957</f>
        <v>3147713.25</v>
      </c>
      <c r="T957" s="189">
        <f t="shared" si="144"/>
        <v>5303.6449031171023</v>
      </c>
      <c r="U957" s="189">
        <f t="shared" ref="U957:U980" si="156">Y957</f>
        <v>6475.5598989048021</v>
      </c>
      <c r="V957" s="170">
        <f t="shared" si="153"/>
        <v>1171.9149957876998</v>
      </c>
      <c r="W957" s="170"/>
      <c r="X957" s="170"/>
      <c r="Y957" s="173">
        <f t="shared" si="154"/>
        <v>6475.5598989048021</v>
      </c>
      <c r="AA957" s="173">
        <f t="shared" si="148"/>
        <v>736</v>
      </c>
      <c r="AH957" s="173" t="e">
        <f t="shared" si="149"/>
        <v>#N/A</v>
      </c>
      <c r="AS957" s="173" t="e">
        <f t="shared" si="150"/>
        <v>#N/A</v>
      </c>
    </row>
    <row r="958" spans="1:45" s="173" customFormat="1" ht="36" customHeight="1" x14ac:dyDescent="0.9">
      <c r="A958" s="173">
        <v>1</v>
      </c>
      <c r="B958" s="91">
        <f>SUBTOTAL(103,$A$957:A958)</f>
        <v>2</v>
      </c>
      <c r="C958" s="90" t="s">
        <v>581</v>
      </c>
      <c r="D958" s="185" t="s">
        <v>317</v>
      </c>
      <c r="E958" s="185"/>
      <c r="F958" s="191" t="s">
        <v>273</v>
      </c>
      <c r="G958" s="185" t="s">
        <v>360</v>
      </c>
      <c r="H958" s="185">
        <v>1</v>
      </c>
      <c r="I958" s="186">
        <v>835.6</v>
      </c>
      <c r="J958" s="186">
        <v>606.6</v>
      </c>
      <c r="K958" s="186">
        <v>287.10000000000002</v>
      </c>
      <c r="L958" s="187">
        <v>17</v>
      </c>
      <c r="M958" s="185" t="s">
        <v>271</v>
      </c>
      <c r="N958" s="185" t="s">
        <v>275</v>
      </c>
      <c r="O958" s="188" t="s">
        <v>1696</v>
      </c>
      <c r="P958" s="189">
        <v>1023224.5700000001</v>
      </c>
      <c r="Q958" s="189">
        <v>0</v>
      </c>
      <c r="R958" s="189">
        <v>0</v>
      </c>
      <c r="S958" s="189">
        <f t="shared" si="155"/>
        <v>1023224.5700000001</v>
      </c>
      <c r="T958" s="189">
        <f t="shared" si="144"/>
        <v>1224.5387386309239</v>
      </c>
      <c r="U958" s="189">
        <f t="shared" si="156"/>
        <v>1437.3073240785063</v>
      </c>
      <c r="V958" s="170">
        <f t="shared" si="153"/>
        <v>212.76858544758238</v>
      </c>
      <c r="W958" s="170"/>
      <c r="X958" s="170"/>
      <c r="Y958" s="173">
        <f t="shared" si="154"/>
        <v>1437.3073240785063</v>
      </c>
      <c r="AA958" s="173">
        <f t="shared" si="148"/>
        <v>230</v>
      </c>
      <c r="AH958" s="173" t="e">
        <f t="shared" si="149"/>
        <v>#N/A</v>
      </c>
      <c r="AS958" s="173" t="e">
        <f t="shared" si="150"/>
        <v>#N/A</v>
      </c>
    </row>
    <row r="959" spans="1:45" s="173" customFormat="1" ht="36" customHeight="1" x14ac:dyDescent="0.9">
      <c r="A959" s="173">
        <v>1</v>
      </c>
      <c r="B959" s="91">
        <f>SUBTOTAL(103,$A$957:A959)</f>
        <v>3</v>
      </c>
      <c r="C959" s="90" t="s">
        <v>1094</v>
      </c>
      <c r="D959" s="185">
        <v>1962</v>
      </c>
      <c r="E959" s="185"/>
      <c r="F959" s="191" t="s">
        <v>273</v>
      </c>
      <c r="G959" s="185">
        <v>3</v>
      </c>
      <c r="H959" s="185">
        <v>2</v>
      </c>
      <c r="I959" s="186">
        <v>970.2</v>
      </c>
      <c r="J959" s="186">
        <v>615</v>
      </c>
      <c r="K959" s="186">
        <v>615</v>
      </c>
      <c r="L959" s="187">
        <v>60</v>
      </c>
      <c r="M959" s="185" t="s">
        <v>271</v>
      </c>
      <c r="N959" s="185" t="s">
        <v>275</v>
      </c>
      <c r="O959" s="188" t="s">
        <v>1694</v>
      </c>
      <c r="P959" s="189">
        <v>2100000</v>
      </c>
      <c r="Q959" s="189">
        <v>0</v>
      </c>
      <c r="R959" s="189">
        <v>0</v>
      </c>
      <c r="S959" s="189">
        <f t="shared" si="155"/>
        <v>2100000</v>
      </c>
      <c r="T959" s="189">
        <f t="shared" si="144"/>
        <v>2164.5021645021643</v>
      </c>
      <c r="U959" s="189">
        <f t="shared" si="156"/>
        <v>2217.4619666048238</v>
      </c>
      <c r="V959" s="170">
        <f t="shared" si="153"/>
        <v>52.959802102659523</v>
      </c>
      <c r="W959" s="170"/>
      <c r="X959" s="170"/>
      <c r="Y959" s="173">
        <f t="shared" si="154"/>
        <v>2217.4619666048238</v>
      </c>
      <c r="AA959" s="173">
        <f t="shared" si="148"/>
        <v>412</v>
      </c>
      <c r="AH959" s="173" t="e">
        <f t="shared" si="149"/>
        <v>#N/A</v>
      </c>
      <c r="AS959" s="173" t="e">
        <f t="shared" si="150"/>
        <v>#N/A</v>
      </c>
    </row>
    <row r="960" spans="1:45" s="173" customFormat="1" ht="36" customHeight="1" x14ac:dyDescent="0.9">
      <c r="A960" s="173">
        <v>1</v>
      </c>
      <c r="B960" s="91">
        <f>SUBTOTAL(103,$A$957:A960)</f>
        <v>4</v>
      </c>
      <c r="C960" s="90" t="s">
        <v>582</v>
      </c>
      <c r="D960" s="185" t="s">
        <v>322</v>
      </c>
      <c r="E960" s="185"/>
      <c r="F960" s="191" t="s">
        <v>319</v>
      </c>
      <c r="G960" s="185" t="s">
        <v>360</v>
      </c>
      <c r="H960" s="185">
        <v>3</v>
      </c>
      <c r="I960" s="186">
        <v>2819.1</v>
      </c>
      <c r="J960" s="186">
        <v>2571.8000000000002</v>
      </c>
      <c r="K960" s="186">
        <v>1698</v>
      </c>
      <c r="L960" s="187">
        <v>109</v>
      </c>
      <c r="M960" s="185" t="s">
        <v>271</v>
      </c>
      <c r="N960" s="185" t="s">
        <v>275</v>
      </c>
      <c r="O960" s="188" t="s">
        <v>1100</v>
      </c>
      <c r="P960" s="189">
        <v>3183875.94</v>
      </c>
      <c r="Q960" s="189">
        <v>0</v>
      </c>
      <c r="R960" s="189">
        <v>0</v>
      </c>
      <c r="S960" s="189">
        <f t="shared" si="155"/>
        <v>3183875.94</v>
      </c>
      <c r="T960" s="189">
        <f t="shared" si="144"/>
        <v>1129.394466319038</v>
      </c>
      <c r="U960" s="189">
        <f t="shared" si="156"/>
        <v>1337.3557518356922</v>
      </c>
      <c r="V960" s="170">
        <f t="shared" si="153"/>
        <v>207.96128551665424</v>
      </c>
      <c r="W960" s="170"/>
      <c r="X960" s="170"/>
      <c r="Y960" s="173">
        <f t="shared" si="154"/>
        <v>1337.3557518356922</v>
      </c>
      <c r="AA960" s="173">
        <f t="shared" si="148"/>
        <v>722</v>
      </c>
      <c r="AH960" s="173" t="e">
        <f t="shared" si="149"/>
        <v>#N/A</v>
      </c>
      <c r="AS960" s="173" t="e">
        <f t="shared" si="150"/>
        <v>#N/A</v>
      </c>
    </row>
    <row r="961" spans="1:45" s="173" customFormat="1" ht="36" customHeight="1" x14ac:dyDescent="0.9">
      <c r="A961" s="173">
        <v>1</v>
      </c>
      <c r="B961" s="91">
        <f>SUBTOTAL(103,$A$957:A961)</f>
        <v>5</v>
      </c>
      <c r="C961" s="90" t="s">
        <v>584</v>
      </c>
      <c r="D961" s="185" t="s">
        <v>322</v>
      </c>
      <c r="E961" s="185"/>
      <c r="F961" s="191" t="s">
        <v>319</v>
      </c>
      <c r="G961" s="185" t="s">
        <v>360</v>
      </c>
      <c r="H961" s="185">
        <v>5</v>
      </c>
      <c r="I961" s="186">
        <v>5771.6</v>
      </c>
      <c r="J961" s="186">
        <v>4780.3999999999996</v>
      </c>
      <c r="K961" s="186">
        <v>4455.8999999999996</v>
      </c>
      <c r="L961" s="187">
        <v>241</v>
      </c>
      <c r="M961" s="185" t="s">
        <v>271</v>
      </c>
      <c r="N961" s="185" t="s">
        <v>275</v>
      </c>
      <c r="O961" s="188" t="s">
        <v>1100</v>
      </c>
      <c r="P961" s="189">
        <v>5391207.6599999992</v>
      </c>
      <c r="Q961" s="189">
        <v>0</v>
      </c>
      <c r="R961" s="189">
        <v>0</v>
      </c>
      <c r="S961" s="189">
        <f t="shared" si="155"/>
        <v>5391207.6599999992</v>
      </c>
      <c r="T961" s="189">
        <f t="shared" si="144"/>
        <v>934.09239379028327</v>
      </c>
      <c r="U961" s="189">
        <f t="shared" si="156"/>
        <v>1085.6885439046364</v>
      </c>
      <c r="V961" s="170">
        <f t="shared" si="153"/>
        <v>151.59615011435312</v>
      </c>
      <c r="W961" s="170"/>
      <c r="X961" s="170"/>
      <c r="Y961" s="173">
        <f t="shared" si="154"/>
        <v>1085.6885439046364</v>
      </c>
      <c r="AA961" s="173">
        <f t="shared" si="148"/>
        <v>1200</v>
      </c>
      <c r="AH961" s="173" t="e">
        <f t="shared" si="149"/>
        <v>#N/A</v>
      </c>
      <c r="AS961" s="173" t="e">
        <f t="shared" si="150"/>
        <v>#N/A</v>
      </c>
    </row>
    <row r="962" spans="1:45" s="173" customFormat="1" ht="36" customHeight="1" x14ac:dyDescent="0.9">
      <c r="A962" s="173">
        <v>1</v>
      </c>
      <c r="B962" s="91">
        <f>SUBTOTAL(103,$A$957:A962)</f>
        <v>6</v>
      </c>
      <c r="C962" s="90" t="s">
        <v>585</v>
      </c>
      <c r="D962" s="185" t="s">
        <v>361</v>
      </c>
      <c r="E962" s="185"/>
      <c r="F962" s="191" t="s">
        <v>273</v>
      </c>
      <c r="G962" s="185" t="s">
        <v>366</v>
      </c>
      <c r="H962" s="185">
        <v>1</v>
      </c>
      <c r="I962" s="186">
        <v>2826.2</v>
      </c>
      <c r="J962" s="186">
        <v>2772.3</v>
      </c>
      <c r="K962" s="186">
        <v>1324.2</v>
      </c>
      <c r="L962" s="187">
        <v>97</v>
      </c>
      <c r="M962" s="185" t="s">
        <v>271</v>
      </c>
      <c r="N962" s="185" t="s">
        <v>275</v>
      </c>
      <c r="O962" s="188" t="s">
        <v>1100</v>
      </c>
      <c r="P962" s="189">
        <v>1896320.0799999998</v>
      </c>
      <c r="Q962" s="189">
        <v>0</v>
      </c>
      <c r="R962" s="189">
        <v>0</v>
      </c>
      <c r="S962" s="189">
        <f t="shared" si="155"/>
        <v>1896320.0799999998</v>
      </c>
      <c r="T962" s="189">
        <f t="shared" si="144"/>
        <v>670.97872762012594</v>
      </c>
      <c r="U962" s="189">
        <f t="shared" si="156"/>
        <v>776.00877503361414</v>
      </c>
      <c r="V962" s="170">
        <f t="shared" si="153"/>
        <v>105.03004741348821</v>
      </c>
      <c r="W962" s="170"/>
      <c r="X962" s="170"/>
      <c r="Y962" s="173">
        <f t="shared" si="154"/>
        <v>776.00877503361414</v>
      </c>
      <c r="AA962" s="173">
        <f t="shared" si="148"/>
        <v>420</v>
      </c>
      <c r="AH962" s="173" t="e">
        <f t="shared" si="149"/>
        <v>#N/A</v>
      </c>
      <c r="AS962" s="173" t="e">
        <f t="shared" si="150"/>
        <v>#N/A</v>
      </c>
    </row>
    <row r="963" spans="1:45" s="173" customFormat="1" ht="36" customHeight="1" x14ac:dyDescent="0.9">
      <c r="A963" s="173">
        <v>1</v>
      </c>
      <c r="B963" s="91">
        <f>SUBTOTAL(103,$A$957:A963)</f>
        <v>7</v>
      </c>
      <c r="C963" s="90" t="s">
        <v>586</v>
      </c>
      <c r="D963" s="185" t="s">
        <v>325</v>
      </c>
      <c r="E963" s="185"/>
      <c r="F963" s="191" t="s">
        <v>319</v>
      </c>
      <c r="G963" s="185" t="s">
        <v>360</v>
      </c>
      <c r="H963" s="185">
        <v>3</v>
      </c>
      <c r="I963" s="186">
        <v>2495.6</v>
      </c>
      <c r="J963" s="186">
        <v>2297</v>
      </c>
      <c r="K963" s="186">
        <v>2070.8000000000002</v>
      </c>
      <c r="L963" s="187">
        <v>94</v>
      </c>
      <c r="M963" s="185" t="s">
        <v>271</v>
      </c>
      <c r="N963" s="185" t="s">
        <v>275</v>
      </c>
      <c r="O963" s="188" t="s">
        <v>1697</v>
      </c>
      <c r="P963" s="189">
        <v>2718609.5</v>
      </c>
      <c r="Q963" s="189">
        <v>0</v>
      </c>
      <c r="R963" s="189">
        <v>0</v>
      </c>
      <c r="S963" s="189">
        <f t="shared" si="155"/>
        <v>2718609.5</v>
      </c>
      <c r="T963" s="189">
        <f t="shared" si="144"/>
        <v>1089.3610754928675</v>
      </c>
      <c r="U963" s="189">
        <f t="shared" si="156"/>
        <v>1240.7947587754447</v>
      </c>
      <c r="V963" s="170">
        <f t="shared" si="153"/>
        <v>151.43368328257725</v>
      </c>
      <c r="W963" s="170"/>
      <c r="X963" s="170"/>
      <c r="Y963" s="173">
        <f t="shared" si="154"/>
        <v>1240.7947587754447</v>
      </c>
      <c r="AA963" s="173">
        <f t="shared" si="148"/>
        <v>593</v>
      </c>
      <c r="AH963" s="173" t="e">
        <f t="shared" si="149"/>
        <v>#N/A</v>
      </c>
      <c r="AS963" s="173" t="e">
        <f t="shared" si="150"/>
        <v>#N/A</v>
      </c>
    </row>
    <row r="964" spans="1:45" s="173" customFormat="1" ht="36" customHeight="1" x14ac:dyDescent="0.9">
      <c r="A964" s="173">
        <v>1</v>
      </c>
      <c r="B964" s="91">
        <f>SUBTOTAL(103,$A$957:A964)</f>
        <v>8</v>
      </c>
      <c r="C964" s="90" t="s">
        <v>1676</v>
      </c>
      <c r="D964" s="185">
        <v>1986</v>
      </c>
      <c r="E964" s="185"/>
      <c r="F964" s="191" t="s">
        <v>319</v>
      </c>
      <c r="G964" s="185">
        <v>9</v>
      </c>
      <c r="H964" s="185">
        <v>2</v>
      </c>
      <c r="I964" s="186">
        <v>4291.79</v>
      </c>
      <c r="J964" s="186">
        <v>3870.3</v>
      </c>
      <c r="K964" s="186">
        <v>3608.2</v>
      </c>
      <c r="L964" s="187">
        <v>180</v>
      </c>
      <c r="M964" s="185" t="s">
        <v>271</v>
      </c>
      <c r="N964" s="185" t="s">
        <v>275</v>
      </c>
      <c r="O964" s="188" t="s">
        <v>1411</v>
      </c>
      <c r="P964" s="189">
        <v>2863861.07</v>
      </c>
      <c r="Q964" s="189">
        <v>0</v>
      </c>
      <c r="R964" s="189">
        <v>0</v>
      </c>
      <c r="S964" s="189">
        <f t="shared" si="155"/>
        <v>2863861.07</v>
      </c>
      <c r="T964" s="189">
        <f t="shared" si="144"/>
        <v>667.28825734716747</v>
      </c>
      <c r="U964" s="189">
        <f t="shared" si="156"/>
        <v>680.13257871424287</v>
      </c>
      <c r="V964" s="170">
        <f t="shared" si="153"/>
        <v>12.844321367075395</v>
      </c>
      <c r="W964" s="170"/>
      <c r="X964" s="170"/>
      <c r="Y964" s="173">
        <f t="shared" si="154"/>
        <v>680.13257871424287</v>
      </c>
      <c r="AA964" s="173">
        <f t="shared" si="148"/>
        <v>559</v>
      </c>
      <c r="AH964" s="173" t="e">
        <f t="shared" si="149"/>
        <v>#N/A</v>
      </c>
      <c r="AS964" s="173" t="e">
        <f t="shared" si="150"/>
        <v>#N/A</v>
      </c>
    </row>
    <row r="965" spans="1:45" s="173" customFormat="1" ht="36" customHeight="1" x14ac:dyDescent="0.9">
      <c r="A965" s="173">
        <v>1</v>
      </c>
      <c r="B965" s="91">
        <f>SUBTOTAL(103,$A$957:A965)</f>
        <v>9</v>
      </c>
      <c r="C965" s="90" t="s">
        <v>587</v>
      </c>
      <c r="D965" s="185" t="s">
        <v>378</v>
      </c>
      <c r="E965" s="185"/>
      <c r="F965" s="191" t="s">
        <v>273</v>
      </c>
      <c r="G965" s="185" t="s">
        <v>366</v>
      </c>
      <c r="H965" s="185">
        <v>1</v>
      </c>
      <c r="I965" s="186">
        <v>6352.8</v>
      </c>
      <c r="J965" s="186">
        <v>4687.3999999999996</v>
      </c>
      <c r="K965" s="186">
        <v>2543.4</v>
      </c>
      <c r="L965" s="187">
        <v>211</v>
      </c>
      <c r="M965" s="185" t="s">
        <v>271</v>
      </c>
      <c r="N965" s="185" t="s">
        <v>275</v>
      </c>
      <c r="O965" s="188" t="s">
        <v>1116</v>
      </c>
      <c r="P965" s="189">
        <v>3653990.26</v>
      </c>
      <c r="Q965" s="189">
        <v>0</v>
      </c>
      <c r="R965" s="189">
        <v>0</v>
      </c>
      <c r="S965" s="189">
        <f t="shared" si="155"/>
        <v>3653990.26</v>
      </c>
      <c r="T965" s="189">
        <f t="shared" si="144"/>
        <v>575.17791524996846</v>
      </c>
      <c r="U965" s="189">
        <f t="shared" si="156"/>
        <v>652.64280317340388</v>
      </c>
      <c r="V965" s="170">
        <f t="shared" si="153"/>
        <v>77.464887923435413</v>
      </c>
      <c r="W965" s="170"/>
      <c r="X965" s="170"/>
      <c r="Y965" s="173">
        <f t="shared" si="154"/>
        <v>652.64280317340388</v>
      </c>
      <c r="AA965" s="173">
        <f t="shared" si="148"/>
        <v>794</v>
      </c>
      <c r="AH965" s="173" t="e">
        <f t="shared" si="149"/>
        <v>#N/A</v>
      </c>
      <c r="AS965" s="173" t="e">
        <f t="shared" si="150"/>
        <v>#N/A</v>
      </c>
    </row>
    <row r="966" spans="1:45" s="173" customFormat="1" ht="36" customHeight="1" x14ac:dyDescent="0.9">
      <c r="A966" s="173">
        <v>1</v>
      </c>
      <c r="B966" s="91">
        <f>SUBTOTAL(103,$A$957:A966)</f>
        <v>10</v>
      </c>
      <c r="C966" s="90" t="s">
        <v>1677</v>
      </c>
      <c r="D966" s="185">
        <v>1986</v>
      </c>
      <c r="E966" s="185"/>
      <c r="F966" s="191" t="s">
        <v>273</v>
      </c>
      <c r="G966" s="185">
        <v>5</v>
      </c>
      <c r="H966" s="185">
        <v>6</v>
      </c>
      <c r="I966" s="186">
        <v>4921.8</v>
      </c>
      <c r="J966" s="186">
        <v>3740</v>
      </c>
      <c r="K966" s="186">
        <v>3478.1</v>
      </c>
      <c r="L966" s="187">
        <v>200</v>
      </c>
      <c r="M966" s="185" t="s">
        <v>271</v>
      </c>
      <c r="N966" s="185" t="s">
        <v>275</v>
      </c>
      <c r="O966" s="188" t="s">
        <v>1116</v>
      </c>
      <c r="P966" s="189">
        <v>5582500</v>
      </c>
      <c r="Q966" s="189">
        <v>0</v>
      </c>
      <c r="R966" s="189">
        <v>0</v>
      </c>
      <c r="S966" s="189">
        <f t="shared" si="155"/>
        <v>5582500</v>
      </c>
      <c r="T966" s="189">
        <f t="shared" si="144"/>
        <v>1134.2395058718355</v>
      </c>
      <c r="U966" s="189">
        <f t="shared" si="156"/>
        <v>1419.5555284651957</v>
      </c>
      <c r="V966" s="170">
        <f t="shared" si="153"/>
        <v>285.31602259336023</v>
      </c>
      <c r="W966" s="170"/>
      <c r="X966" s="170"/>
      <c r="Y966" s="173">
        <f t="shared" si="154"/>
        <v>1419.5555284651957</v>
      </c>
      <c r="AA966" s="173">
        <f t="shared" si="148"/>
        <v>1338</v>
      </c>
      <c r="AH966" s="173" t="e">
        <f t="shared" si="149"/>
        <v>#N/A</v>
      </c>
      <c r="AS966" s="173" t="e">
        <f t="shared" si="150"/>
        <v>#N/A</v>
      </c>
    </row>
    <row r="967" spans="1:45" s="173" customFormat="1" ht="36" customHeight="1" x14ac:dyDescent="0.9">
      <c r="A967" s="173">
        <v>1</v>
      </c>
      <c r="B967" s="91">
        <f>SUBTOTAL(103,$A$957:A967)</f>
        <v>11</v>
      </c>
      <c r="C967" s="90" t="s">
        <v>588</v>
      </c>
      <c r="D967" s="185" t="s">
        <v>379</v>
      </c>
      <c r="E967" s="185"/>
      <c r="F967" s="191" t="s">
        <v>319</v>
      </c>
      <c r="G967" s="185" t="s">
        <v>360</v>
      </c>
      <c r="H967" s="185">
        <v>4</v>
      </c>
      <c r="I967" s="186">
        <v>4042.4</v>
      </c>
      <c r="J967" s="186">
        <v>3045.4</v>
      </c>
      <c r="K967" s="186">
        <v>2978.7</v>
      </c>
      <c r="L967" s="187">
        <v>118</v>
      </c>
      <c r="M967" s="185" t="s">
        <v>271</v>
      </c>
      <c r="N967" s="185" t="s">
        <v>275</v>
      </c>
      <c r="O967" s="188" t="s">
        <v>1349</v>
      </c>
      <c r="P967" s="189">
        <v>3493332.35</v>
      </c>
      <c r="Q967" s="189">
        <v>0</v>
      </c>
      <c r="R967" s="189">
        <v>0</v>
      </c>
      <c r="S967" s="189">
        <f t="shared" si="155"/>
        <v>3493332.35</v>
      </c>
      <c r="T967" s="189">
        <f t="shared" si="144"/>
        <v>864.17285523451415</v>
      </c>
      <c r="U967" s="189">
        <f t="shared" si="156"/>
        <v>981.99395408668124</v>
      </c>
      <c r="V967" s="170">
        <f t="shared" si="153"/>
        <v>117.8210988521671</v>
      </c>
      <c r="W967" s="170"/>
      <c r="X967" s="170"/>
      <c r="Y967" s="173">
        <f t="shared" si="154"/>
        <v>981.99395408668124</v>
      </c>
      <c r="AA967" s="173">
        <f t="shared" si="148"/>
        <v>760.2</v>
      </c>
      <c r="AH967" s="173" t="e">
        <f t="shared" si="149"/>
        <v>#N/A</v>
      </c>
      <c r="AS967" s="173" t="e">
        <f t="shared" si="150"/>
        <v>#N/A</v>
      </c>
    </row>
    <row r="968" spans="1:45" s="173" customFormat="1" ht="36" customHeight="1" x14ac:dyDescent="0.9">
      <c r="A968" s="173">
        <v>1</v>
      </c>
      <c r="B968" s="91">
        <f>SUBTOTAL(103,$A$957:A968)</f>
        <v>12</v>
      </c>
      <c r="C968" s="90" t="s">
        <v>589</v>
      </c>
      <c r="D968" s="185">
        <v>1971</v>
      </c>
      <c r="E968" s="185"/>
      <c r="F968" s="191" t="s">
        <v>273</v>
      </c>
      <c r="G968" s="185">
        <v>5</v>
      </c>
      <c r="H968" s="185">
        <v>5</v>
      </c>
      <c r="I968" s="186">
        <v>4541.8</v>
      </c>
      <c r="J968" s="186">
        <v>4541.8</v>
      </c>
      <c r="K968" s="186">
        <v>4403.2</v>
      </c>
      <c r="L968" s="187">
        <v>250</v>
      </c>
      <c r="M968" s="185" t="s">
        <v>271</v>
      </c>
      <c r="N968" s="185" t="s">
        <v>275</v>
      </c>
      <c r="O968" s="188" t="s">
        <v>1412</v>
      </c>
      <c r="P968" s="189">
        <v>5751539.1200000001</v>
      </c>
      <c r="Q968" s="189">
        <v>0</v>
      </c>
      <c r="R968" s="189">
        <v>0</v>
      </c>
      <c r="S968" s="189">
        <f t="shared" si="155"/>
        <v>5751539.1200000001</v>
      </c>
      <c r="T968" s="189">
        <f t="shared" si="144"/>
        <v>1266.3567572328152</v>
      </c>
      <c r="U968" s="189">
        <f t="shared" si="156"/>
        <v>1449.1075608789467</v>
      </c>
      <c r="V968" s="170">
        <f t="shared" si="153"/>
        <v>182.75080364613154</v>
      </c>
      <c r="W968" s="170"/>
      <c r="X968" s="170"/>
      <c r="Y968" s="173">
        <f t="shared" si="154"/>
        <v>1449.1075608789467</v>
      </c>
      <c r="AA968" s="173">
        <f t="shared" si="148"/>
        <v>1260.4000000000001</v>
      </c>
      <c r="AH968" s="173" t="e">
        <f t="shared" si="149"/>
        <v>#N/A</v>
      </c>
      <c r="AS968" s="173" t="e">
        <f t="shared" si="150"/>
        <v>#N/A</v>
      </c>
    </row>
    <row r="969" spans="1:45" s="173" customFormat="1" ht="36" customHeight="1" x14ac:dyDescent="0.9">
      <c r="A969" s="173">
        <v>1</v>
      </c>
      <c r="B969" s="91">
        <f>SUBTOTAL(103,$A$957:A969)</f>
        <v>13</v>
      </c>
      <c r="C969" s="90" t="s">
        <v>590</v>
      </c>
      <c r="D969" s="185" t="s">
        <v>317</v>
      </c>
      <c r="E969" s="185"/>
      <c r="F969" s="191" t="s">
        <v>319</v>
      </c>
      <c r="G969" s="185" t="s">
        <v>360</v>
      </c>
      <c r="H969" s="185">
        <v>6</v>
      </c>
      <c r="I969" s="186">
        <v>6071.1</v>
      </c>
      <c r="J969" s="186">
        <v>4547.3999999999996</v>
      </c>
      <c r="K969" s="186">
        <v>4155.2</v>
      </c>
      <c r="L969" s="187">
        <v>204</v>
      </c>
      <c r="M969" s="185" t="s">
        <v>271</v>
      </c>
      <c r="N969" s="185" t="s">
        <v>275</v>
      </c>
      <c r="O969" s="188" t="s">
        <v>1349</v>
      </c>
      <c r="P969" s="189">
        <v>5350859.32</v>
      </c>
      <c r="Q969" s="189">
        <v>0</v>
      </c>
      <c r="R969" s="189">
        <v>0</v>
      </c>
      <c r="S969" s="189">
        <f t="shared" si="155"/>
        <v>5350859.32</v>
      </c>
      <c r="T969" s="189">
        <f t="shared" si="144"/>
        <v>881.36570308510818</v>
      </c>
      <c r="U969" s="189">
        <f t="shared" si="156"/>
        <v>989.98398972179666</v>
      </c>
      <c r="V969" s="170">
        <f t="shared" si="153"/>
        <v>108.61828663668848</v>
      </c>
      <c r="W969" s="170"/>
      <c r="X969" s="170"/>
      <c r="Y969" s="173">
        <f t="shared" si="154"/>
        <v>989.98398972179666</v>
      </c>
      <c r="AA969" s="173">
        <f t="shared" si="148"/>
        <v>1151</v>
      </c>
      <c r="AH969" s="173" t="e">
        <f t="shared" si="149"/>
        <v>#N/A</v>
      </c>
      <c r="AS969" s="173" t="e">
        <f t="shared" si="150"/>
        <v>#N/A</v>
      </c>
    </row>
    <row r="970" spans="1:45" s="173" customFormat="1" ht="36" customHeight="1" x14ac:dyDescent="0.9">
      <c r="A970" s="173">
        <v>1</v>
      </c>
      <c r="B970" s="91">
        <f>SUBTOTAL(103,$A$957:A970)</f>
        <v>14</v>
      </c>
      <c r="C970" s="90" t="s">
        <v>591</v>
      </c>
      <c r="D970" s="185" t="s">
        <v>377</v>
      </c>
      <c r="E970" s="185"/>
      <c r="F970" s="191" t="s">
        <v>319</v>
      </c>
      <c r="G970" s="185" t="s">
        <v>380</v>
      </c>
      <c r="H970" s="185">
        <v>2</v>
      </c>
      <c r="I970" s="186">
        <v>2963</v>
      </c>
      <c r="J970" s="186">
        <v>2175.9</v>
      </c>
      <c r="K970" s="186">
        <v>2084.1</v>
      </c>
      <c r="L970" s="187">
        <v>123</v>
      </c>
      <c r="M970" s="185" t="s">
        <v>271</v>
      </c>
      <c r="N970" s="185" t="s">
        <v>275</v>
      </c>
      <c r="O970" s="188" t="s">
        <v>1349</v>
      </c>
      <c r="P970" s="189">
        <v>2108786.08</v>
      </c>
      <c r="Q970" s="189">
        <v>0</v>
      </c>
      <c r="R970" s="189">
        <v>0</v>
      </c>
      <c r="S970" s="189">
        <f t="shared" si="155"/>
        <v>2108786.08</v>
      </c>
      <c r="T970" s="189">
        <f t="shared" si="144"/>
        <v>711.70640566992915</v>
      </c>
      <c r="U970" s="189">
        <f t="shared" si="156"/>
        <v>818.95729328383391</v>
      </c>
      <c r="V970" s="170">
        <f t="shared" si="153"/>
        <v>107.25088761390475</v>
      </c>
      <c r="W970" s="170"/>
      <c r="X970" s="170"/>
      <c r="Y970" s="173">
        <f t="shared" si="154"/>
        <v>818.95729328383391</v>
      </c>
      <c r="AA970" s="173">
        <f t="shared" si="148"/>
        <v>464.7</v>
      </c>
      <c r="AH970" s="173" t="e">
        <f t="shared" si="149"/>
        <v>#N/A</v>
      </c>
      <c r="AS970" s="173" t="e">
        <f t="shared" si="150"/>
        <v>#N/A</v>
      </c>
    </row>
    <row r="971" spans="1:45" s="173" customFormat="1" ht="36" customHeight="1" x14ac:dyDescent="0.9">
      <c r="A971" s="173">
        <v>1</v>
      </c>
      <c r="B971" s="91">
        <f>SUBTOTAL(103,$A$957:A971)</f>
        <v>15</v>
      </c>
      <c r="C971" s="90" t="s">
        <v>592</v>
      </c>
      <c r="D971" s="185" t="s">
        <v>321</v>
      </c>
      <c r="E971" s="185"/>
      <c r="F971" s="191" t="s">
        <v>319</v>
      </c>
      <c r="G971" s="185" t="s">
        <v>380</v>
      </c>
      <c r="H971" s="185">
        <v>2</v>
      </c>
      <c r="I971" s="186">
        <v>2482.1</v>
      </c>
      <c r="J971" s="186">
        <v>2181.5500000000002</v>
      </c>
      <c r="K971" s="186">
        <v>1858.6</v>
      </c>
      <c r="L971" s="187">
        <v>96</v>
      </c>
      <c r="M971" s="185" t="s">
        <v>271</v>
      </c>
      <c r="N971" s="185" t="s">
        <v>275</v>
      </c>
      <c r="O971" s="188" t="s">
        <v>1410</v>
      </c>
      <c r="P971" s="189">
        <v>2108788.0499999998</v>
      </c>
      <c r="Q971" s="189">
        <v>0</v>
      </c>
      <c r="R971" s="189">
        <v>0</v>
      </c>
      <c r="S971" s="189">
        <f t="shared" si="155"/>
        <v>2108788.0499999998</v>
      </c>
      <c r="T971" s="189">
        <f t="shared" si="144"/>
        <v>849.59834414407146</v>
      </c>
      <c r="U971" s="189">
        <f t="shared" si="156"/>
        <v>977.58592482172367</v>
      </c>
      <c r="V971" s="170">
        <f t="shared" si="153"/>
        <v>127.9875806776522</v>
      </c>
      <c r="W971" s="170"/>
      <c r="X971" s="170"/>
      <c r="Y971" s="173">
        <f t="shared" si="154"/>
        <v>977.58592482172367</v>
      </c>
      <c r="AA971" s="173">
        <f t="shared" si="148"/>
        <v>464.68</v>
      </c>
      <c r="AH971" s="173" t="e">
        <f t="shared" si="149"/>
        <v>#N/A</v>
      </c>
      <c r="AS971" s="173" t="e">
        <f t="shared" si="150"/>
        <v>#N/A</v>
      </c>
    </row>
    <row r="972" spans="1:45" s="173" customFormat="1" ht="36" customHeight="1" x14ac:dyDescent="0.9">
      <c r="A972" s="173">
        <v>1</v>
      </c>
      <c r="B972" s="91">
        <f>SUBTOTAL(103,$A$957:A972)</f>
        <v>16</v>
      </c>
      <c r="C972" s="90" t="s">
        <v>1678</v>
      </c>
      <c r="D972" s="185">
        <v>1962</v>
      </c>
      <c r="E972" s="185"/>
      <c r="F972" s="191" t="s">
        <v>273</v>
      </c>
      <c r="G972" s="185">
        <v>4</v>
      </c>
      <c r="H972" s="185">
        <v>3</v>
      </c>
      <c r="I972" s="186">
        <v>2169.3000000000002</v>
      </c>
      <c r="J972" s="186">
        <v>1836.7</v>
      </c>
      <c r="K972" s="186">
        <v>1836.7</v>
      </c>
      <c r="L972" s="187">
        <v>110</v>
      </c>
      <c r="M972" s="185" t="s">
        <v>271</v>
      </c>
      <c r="N972" s="185" t="s">
        <v>275</v>
      </c>
      <c r="O972" s="188" t="s">
        <v>1116</v>
      </c>
      <c r="P972" s="189">
        <v>4161500</v>
      </c>
      <c r="Q972" s="189">
        <v>0</v>
      </c>
      <c r="R972" s="189">
        <v>0</v>
      </c>
      <c r="S972" s="189">
        <f t="shared" si="155"/>
        <v>4161500</v>
      </c>
      <c r="T972" s="189">
        <f t="shared" si="144"/>
        <v>1918.3607615359792</v>
      </c>
      <c r="U972" s="189">
        <f t="shared" si="156"/>
        <v>1993.1085603650947</v>
      </c>
      <c r="V972" s="170">
        <f t="shared" si="153"/>
        <v>74.747798829115482</v>
      </c>
      <c r="W972" s="170"/>
      <c r="X972" s="170"/>
      <c r="Y972" s="173">
        <f t="shared" si="154"/>
        <v>1993.1085603650947</v>
      </c>
      <c r="AA972" s="173">
        <f t="shared" si="148"/>
        <v>828</v>
      </c>
      <c r="AH972" s="173" t="e">
        <f t="shared" si="149"/>
        <v>#N/A</v>
      </c>
      <c r="AS972" s="173" t="e">
        <f t="shared" si="150"/>
        <v>#N/A</v>
      </c>
    </row>
    <row r="973" spans="1:45" s="173" customFormat="1" ht="36" customHeight="1" x14ac:dyDescent="0.9">
      <c r="A973" s="173">
        <v>1</v>
      </c>
      <c r="B973" s="91">
        <f>SUBTOTAL(103,$A$957:A973)</f>
        <v>17</v>
      </c>
      <c r="C973" s="90" t="s">
        <v>593</v>
      </c>
      <c r="D973" s="185" t="s">
        <v>381</v>
      </c>
      <c r="E973" s="185"/>
      <c r="F973" s="191" t="s">
        <v>319</v>
      </c>
      <c r="G973" s="185" t="s">
        <v>360</v>
      </c>
      <c r="H973" s="185">
        <v>4</v>
      </c>
      <c r="I973" s="186">
        <v>3579.9</v>
      </c>
      <c r="J973" s="186">
        <v>3134.6</v>
      </c>
      <c r="K973" s="186">
        <v>3134.6</v>
      </c>
      <c r="L973" s="187">
        <v>151</v>
      </c>
      <c r="M973" s="185" t="s">
        <v>271</v>
      </c>
      <c r="N973" s="185" t="s">
        <v>275</v>
      </c>
      <c r="O973" s="188" t="s">
        <v>1411</v>
      </c>
      <c r="P973" s="189">
        <v>4241954.88</v>
      </c>
      <c r="Q973" s="189">
        <v>0</v>
      </c>
      <c r="R973" s="189">
        <v>0</v>
      </c>
      <c r="S973" s="189">
        <f t="shared" si="155"/>
        <v>4241954.88</v>
      </c>
      <c r="T973" s="189">
        <f t="shared" si="144"/>
        <v>1184.9366965557697</v>
      </c>
      <c r="U973" s="189">
        <f t="shared" si="156"/>
        <v>1338.5976870862314</v>
      </c>
      <c r="V973" s="170">
        <f t="shared" si="153"/>
        <v>153.66099053046173</v>
      </c>
      <c r="W973" s="170"/>
      <c r="X973" s="170"/>
      <c r="Y973" s="173">
        <f t="shared" si="154"/>
        <v>1338.5976870862314</v>
      </c>
      <c r="AA973" s="173">
        <f t="shared" si="148"/>
        <v>917.7</v>
      </c>
      <c r="AH973" s="173" t="e">
        <f t="shared" si="149"/>
        <v>#N/A</v>
      </c>
      <c r="AS973" s="173" t="e">
        <f t="shared" si="150"/>
        <v>#N/A</v>
      </c>
    </row>
    <row r="974" spans="1:45" s="173" customFormat="1" ht="36" customHeight="1" x14ac:dyDescent="0.9">
      <c r="A974" s="173">
        <v>1</v>
      </c>
      <c r="B974" s="91">
        <f>SUBTOTAL(103,$A$957:A974)</f>
        <v>18</v>
      </c>
      <c r="C974" s="90" t="s">
        <v>594</v>
      </c>
      <c r="D974" s="185" t="s">
        <v>382</v>
      </c>
      <c r="E974" s="185"/>
      <c r="F974" s="191" t="s">
        <v>273</v>
      </c>
      <c r="G974" s="185" t="s">
        <v>320</v>
      </c>
      <c r="H974" s="185">
        <v>1</v>
      </c>
      <c r="I974" s="186">
        <v>1637</v>
      </c>
      <c r="J974" s="186">
        <v>983.6</v>
      </c>
      <c r="K974" s="186">
        <v>768.5</v>
      </c>
      <c r="L974" s="187">
        <v>71</v>
      </c>
      <c r="M974" s="185" t="s">
        <v>271</v>
      </c>
      <c r="N974" s="185" t="s">
        <v>275</v>
      </c>
      <c r="O974" s="188" t="s">
        <v>1410</v>
      </c>
      <c r="P974" s="189">
        <v>3514995.2</v>
      </c>
      <c r="Q974" s="189">
        <v>0</v>
      </c>
      <c r="R974" s="189">
        <v>0</v>
      </c>
      <c r="S974" s="189">
        <f t="shared" si="155"/>
        <v>3514995.2</v>
      </c>
      <c r="T974" s="189">
        <f t="shared" si="144"/>
        <v>2147.2175931582165</v>
      </c>
      <c r="U974" s="189">
        <f t="shared" si="156"/>
        <v>2472.1411117898597</v>
      </c>
      <c r="V974" s="170">
        <f t="shared" si="153"/>
        <v>324.92351863164322</v>
      </c>
      <c r="W974" s="170"/>
      <c r="X974" s="170"/>
      <c r="Y974" s="173">
        <f t="shared" si="154"/>
        <v>2472.1411117898597</v>
      </c>
      <c r="AA974" s="173">
        <f t="shared" si="148"/>
        <v>775</v>
      </c>
      <c r="AH974" s="173" t="e">
        <f t="shared" si="149"/>
        <v>#N/A</v>
      </c>
      <c r="AS974" s="173" t="e">
        <f t="shared" si="150"/>
        <v>#N/A</v>
      </c>
    </row>
    <row r="975" spans="1:45" s="173" customFormat="1" ht="36" customHeight="1" x14ac:dyDescent="0.9">
      <c r="A975" s="173">
        <v>1</v>
      </c>
      <c r="B975" s="91">
        <f>SUBTOTAL(103,$A$957:A975)</f>
        <v>19</v>
      </c>
      <c r="C975" s="90" t="s">
        <v>595</v>
      </c>
      <c r="D975" s="193" t="s">
        <v>318</v>
      </c>
      <c r="E975" s="185"/>
      <c r="F975" s="191" t="s">
        <v>319</v>
      </c>
      <c r="G975" s="185" t="s">
        <v>360</v>
      </c>
      <c r="H975" s="185">
        <v>3</v>
      </c>
      <c r="I975" s="186">
        <v>2249.1</v>
      </c>
      <c r="J975" s="186">
        <v>2046.7</v>
      </c>
      <c r="K975" s="186">
        <v>2046.7</v>
      </c>
      <c r="L975" s="187">
        <v>97</v>
      </c>
      <c r="M975" s="185" t="s">
        <v>271</v>
      </c>
      <c r="N975" s="185" t="s">
        <v>275</v>
      </c>
      <c r="O975" s="188" t="s">
        <v>1411</v>
      </c>
      <c r="P975" s="189">
        <v>2547497.35</v>
      </c>
      <c r="Q975" s="189">
        <v>0</v>
      </c>
      <c r="R975" s="189">
        <v>0</v>
      </c>
      <c r="S975" s="189">
        <f t="shared" si="155"/>
        <v>2547497.35</v>
      </c>
      <c r="T975" s="189">
        <f t="shared" ref="T975:T1038" si="157">P975/I975</f>
        <v>1132.6741140900806</v>
      </c>
      <c r="U975" s="189">
        <f t="shared" si="156"/>
        <v>1293.202881152461</v>
      </c>
      <c r="V975" s="170">
        <f t="shared" si="153"/>
        <v>160.52876706238044</v>
      </c>
      <c r="W975" s="170"/>
      <c r="X975" s="170"/>
      <c r="Y975" s="173">
        <f t="shared" si="154"/>
        <v>1293.202881152461</v>
      </c>
      <c r="AA975" s="173">
        <f t="shared" si="148"/>
        <v>557</v>
      </c>
      <c r="AH975" s="173" t="e">
        <f t="shared" si="149"/>
        <v>#N/A</v>
      </c>
      <c r="AS975" s="173" t="e">
        <f t="shared" si="150"/>
        <v>#N/A</v>
      </c>
    </row>
    <row r="976" spans="1:45" s="173" customFormat="1" ht="36" customHeight="1" x14ac:dyDescent="0.9">
      <c r="A976" s="173">
        <v>1</v>
      </c>
      <c r="B976" s="91">
        <f>SUBTOTAL(103,$A$957:A976)</f>
        <v>20</v>
      </c>
      <c r="C976" s="90" t="s">
        <v>596</v>
      </c>
      <c r="D976" s="193" t="s">
        <v>318</v>
      </c>
      <c r="E976" s="185"/>
      <c r="F976" s="191" t="s">
        <v>273</v>
      </c>
      <c r="G976" s="185" t="s">
        <v>360</v>
      </c>
      <c r="H976" s="185">
        <v>1</v>
      </c>
      <c r="I976" s="186">
        <v>867.9</v>
      </c>
      <c r="J976" s="186">
        <v>809.2</v>
      </c>
      <c r="K976" s="186">
        <v>766.2</v>
      </c>
      <c r="L976" s="187">
        <v>36</v>
      </c>
      <c r="M976" s="185" t="s">
        <v>271</v>
      </c>
      <c r="N976" s="185" t="s">
        <v>275</v>
      </c>
      <c r="O976" s="188" t="s">
        <v>1424</v>
      </c>
      <c r="P976" s="189">
        <v>974208.66</v>
      </c>
      <c r="Q976" s="189">
        <v>0</v>
      </c>
      <c r="R976" s="189">
        <v>0</v>
      </c>
      <c r="S976" s="189">
        <f t="shared" si="155"/>
        <v>974208.66</v>
      </c>
      <c r="T976" s="189">
        <f t="shared" si="157"/>
        <v>1122.4895264431386</v>
      </c>
      <c r="U976" s="189">
        <f t="shared" si="156"/>
        <v>1359.7497407535432</v>
      </c>
      <c r="V976" s="170">
        <f t="shared" si="153"/>
        <v>237.26021431040454</v>
      </c>
      <c r="W976" s="170"/>
      <c r="X976" s="170"/>
      <c r="Y976" s="173">
        <f t="shared" si="154"/>
        <v>1359.7497407535432</v>
      </c>
      <c r="AA976" s="173">
        <f t="shared" si="148"/>
        <v>226</v>
      </c>
      <c r="AH976" s="173" t="e">
        <f t="shared" si="149"/>
        <v>#N/A</v>
      </c>
      <c r="AS976" s="173" t="e">
        <f t="shared" si="150"/>
        <v>#N/A</v>
      </c>
    </row>
    <row r="977" spans="1:45" s="173" customFormat="1" ht="36" customHeight="1" x14ac:dyDescent="0.9">
      <c r="A977" s="173">
        <v>1</v>
      </c>
      <c r="B977" s="91">
        <f>SUBTOTAL(103,$A$957:A977)</f>
        <v>21</v>
      </c>
      <c r="C977" s="90" t="s">
        <v>597</v>
      </c>
      <c r="D977" s="185" t="s">
        <v>383</v>
      </c>
      <c r="E977" s="185"/>
      <c r="F977" s="191" t="s">
        <v>319</v>
      </c>
      <c r="G977" s="185" t="s">
        <v>360</v>
      </c>
      <c r="H977" s="185">
        <v>3</v>
      </c>
      <c r="I977" s="186">
        <v>2653.8</v>
      </c>
      <c r="J977" s="186">
        <v>2443.1</v>
      </c>
      <c r="K977" s="186">
        <v>2354.1</v>
      </c>
      <c r="L977" s="187">
        <v>102</v>
      </c>
      <c r="M977" s="185" t="s">
        <v>271</v>
      </c>
      <c r="N977" s="185" t="s">
        <v>275</v>
      </c>
      <c r="O977" s="188" t="s">
        <v>1100</v>
      </c>
      <c r="P977" s="189">
        <v>2883983.08</v>
      </c>
      <c r="Q977" s="189">
        <v>0</v>
      </c>
      <c r="R977" s="189">
        <v>0</v>
      </c>
      <c r="S977" s="189">
        <f t="shared" si="155"/>
        <v>2883983.08</v>
      </c>
      <c r="T977" s="189">
        <f t="shared" si="157"/>
        <v>1086.7371618057125</v>
      </c>
      <c r="U977" s="189">
        <f t="shared" si="156"/>
        <v>1243.5668098575627</v>
      </c>
      <c r="V977" s="170">
        <f t="shared" si="153"/>
        <v>156.8296480518502</v>
      </c>
      <c r="W977" s="170"/>
      <c r="X977" s="170"/>
      <c r="Y977" s="173">
        <f t="shared" si="154"/>
        <v>1243.5668098575627</v>
      </c>
      <c r="AA977" s="173">
        <f t="shared" si="148"/>
        <v>632</v>
      </c>
      <c r="AH977" s="173" t="e">
        <f t="shared" si="149"/>
        <v>#N/A</v>
      </c>
      <c r="AS977" s="173" t="e">
        <f t="shared" si="150"/>
        <v>#N/A</v>
      </c>
    </row>
    <row r="978" spans="1:45" s="173" customFormat="1" ht="36" customHeight="1" x14ac:dyDescent="0.9">
      <c r="A978" s="173">
        <v>1</v>
      </c>
      <c r="B978" s="91">
        <f>SUBTOTAL(103,$A$957:A978)</f>
        <v>22</v>
      </c>
      <c r="C978" s="90" t="s">
        <v>598</v>
      </c>
      <c r="D978" s="185" t="s">
        <v>383</v>
      </c>
      <c r="E978" s="185"/>
      <c r="F978" s="191" t="s">
        <v>319</v>
      </c>
      <c r="G978" s="185" t="s">
        <v>360</v>
      </c>
      <c r="H978" s="185">
        <v>3</v>
      </c>
      <c r="I978" s="186">
        <v>2632.8</v>
      </c>
      <c r="J978" s="186">
        <v>2351.9</v>
      </c>
      <c r="K978" s="186">
        <v>2335.8000000000002</v>
      </c>
      <c r="L978" s="187">
        <v>107</v>
      </c>
      <c r="M978" s="185" t="s">
        <v>271</v>
      </c>
      <c r="N978" s="185" t="s">
        <v>275</v>
      </c>
      <c r="O978" s="188" t="s">
        <v>1100</v>
      </c>
      <c r="P978" s="189">
        <v>2883983.08</v>
      </c>
      <c r="Q978" s="189">
        <v>0</v>
      </c>
      <c r="R978" s="189">
        <v>0</v>
      </c>
      <c r="S978" s="189">
        <f t="shared" si="155"/>
        <v>2883983.08</v>
      </c>
      <c r="T978" s="189">
        <f t="shared" si="157"/>
        <v>1095.4053023397144</v>
      </c>
      <c r="U978" s="189">
        <f t="shared" si="156"/>
        <v>1253.4858705560619</v>
      </c>
      <c r="V978" s="170">
        <f t="shared" si="153"/>
        <v>158.0805682163475</v>
      </c>
      <c r="W978" s="170"/>
      <c r="X978" s="170"/>
      <c r="Y978" s="173">
        <f t="shared" si="154"/>
        <v>1253.4858705560619</v>
      </c>
      <c r="AA978" s="173">
        <f t="shared" si="148"/>
        <v>632</v>
      </c>
      <c r="AH978" s="173" t="e">
        <f t="shared" si="149"/>
        <v>#N/A</v>
      </c>
      <c r="AS978" s="173" t="e">
        <f t="shared" si="150"/>
        <v>#N/A</v>
      </c>
    </row>
    <row r="979" spans="1:45" s="173" customFormat="1" ht="36" customHeight="1" x14ac:dyDescent="0.9">
      <c r="A979" s="173">
        <v>1</v>
      </c>
      <c r="B979" s="91">
        <f>SUBTOTAL(103,$A$957:A979)</f>
        <v>23</v>
      </c>
      <c r="C979" s="90" t="s">
        <v>599</v>
      </c>
      <c r="D979" s="185" t="s">
        <v>318</v>
      </c>
      <c r="E979" s="185"/>
      <c r="F979" s="191" t="s">
        <v>273</v>
      </c>
      <c r="G979" s="185" t="s">
        <v>366</v>
      </c>
      <c r="H979" s="185">
        <v>1</v>
      </c>
      <c r="I979" s="186">
        <v>3626.2</v>
      </c>
      <c r="J979" s="186">
        <v>3322.8</v>
      </c>
      <c r="K979" s="186">
        <v>3152.1</v>
      </c>
      <c r="L979" s="187">
        <v>152</v>
      </c>
      <c r="M979" s="185" t="s">
        <v>271</v>
      </c>
      <c r="N979" s="185" t="s">
        <v>275</v>
      </c>
      <c r="O979" s="188" t="s">
        <v>1100</v>
      </c>
      <c r="P979" s="189">
        <v>3302263</v>
      </c>
      <c r="Q979" s="189">
        <v>0</v>
      </c>
      <c r="R979" s="189">
        <v>0</v>
      </c>
      <c r="S979" s="189">
        <f t="shared" si="155"/>
        <v>3302263</v>
      </c>
      <c r="T979" s="189">
        <f t="shared" si="157"/>
        <v>910.66764105675372</v>
      </c>
      <c r="U979" s="189">
        <f t="shared" si="156"/>
        <v>1036.8142959572003</v>
      </c>
      <c r="V979" s="170">
        <f t="shared" si="153"/>
        <v>126.14665490044661</v>
      </c>
      <c r="W979" s="170"/>
      <c r="X979" s="170"/>
      <c r="Y979" s="173">
        <f t="shared" si="154"/>
        <v>1036.8142959572003</v>
      </c>
      <c r="AA979" s="173">
        <f t="shared" si="148"/>
        <v>720</v>
      </c>
      <c r="AH979" s="173" t="e">
        <f t="shared" si="149"/>
        <v>#N/A</v>
      </c>
      <c r="AS979" s="173" t="e">
        <f t="shared" si="150"/>
        <v>#N/A</v>
      </c>
    </row>
    <row r="980" spans="1:45" s="173" customFormat="1" ht="36" customHeight="1" x14ac:dyDescent="0.9">
      <c r="A980" s="173">
        <v>1</v>
      </c>
      <c r="B980" s="91">
        <f>SUBTOTAL(103,$A$957:A980)</f>
        <v>24</v>
      </c>
      <c r="C980" s="90" t="s">
        <v>600</v>
      </c>
      <c r="D980" s="185" t="s">
        <v>384</v>
      </c>
      <c r="E980" s="185"/>
      <c r="F980" s="191" t="s">
        <v>319</v>
      </c>
      <c r="G980" s="185" t="s">
        <v>360</v>
      </c>
      <c r="H980" s="185">
        <v>4</v>
      </c>
      <c r="I980" s="186">
        <v>3861</v>
      </c>
      <c r="J980" s="186">
        <v>3604.2</v>
      </c>
      <c r="K980" s="186">
        <v>3552.1</v>
      </c>
      <c r="L980" s="187">
        <v>165</v>
      </c>
      <c r="M980" s="185" t="s">
        <v>271</v>
      </c>
      <c r="N980" s="185" t="s">
        <v>275</v>
      </c>
      <c r="O980" s="188" t="s">
        <v>1100</v>
      </c>
      <c r="P980" s="189">
        <v>4323303.57</v>
      </c>
      <c r="Q980" s="189">
        <v>0</v>
      </c>
      <c r="R980" s="189">
        <v>0</v>
      </c>
      <c r="S980" s="189">
        <f t="shared" si="155"/>
        <v>4323303.57</v>
      </c>
      <c r="T980" s="189">
        <f t="shared" si="157"/>
        <v>1119.7367443667445</v>
      </c>
      <c r="U980" s="189">
        <f t="shared" si="156"/>
        <v>1313.2265734265734</v>
      </c>
      <c r="V980" s="170">
        <f t="shared" si="153"/>
        <v>193.48982905982893</v>
      </c>
      <c r="W980" s="170"/>
      <c r="X980" s="170"/>
      <c r="Y980" s="173">
        <f t="shared" si="154"/>
        <v>1313.2265734265734</v>
      </c>
      <c r="AA980" s="173">
        <f t="shared" si="148"/>
        <v>971</v>
      </c>
      <c r="AH980" s="173" t="e">
        <f t="shared" si="149"/>
        <v>#N/A</v>
      </c>
      <c r="AS980" s="173" t="e">
        <f t="shared" si="150"/>
        <v>#N/A</v>
      </c>
    </row>
    <row r="981" spans="1:45" s="173" customFormat="1" ht="36" customHeight="1" x14ac:dyDescent="0.9">
      <c r="A981" s="173">
        <v>1</v>
      </c>
      <c r="B981" s="91">
        <f>SUBTOTAL(103,$A$957:A981)</f>
        <v>25</v>
      </c>
      <c r="C981" s="90" t="s">
        <v>601</v>
      </c>
      <c r="D981" s="185" t="s">
        <v>385</v>
      </c>
      <c r="E981" s="185"/>
      <c r="F981" s="191" t="s">
        <v>273</v>
      </c>
      <c r="G981" s="185" t="s">
        <v>366</v>
      </c>
      <c r="H981" s="185">
        <v>1</v>
      </c>
      <c r="I981" s="186">
        <v>1800.4</v>
      </c>
      <c r="J981" s="186">
        <v>1643.1</v>
      </c>
      <c r="K981" s="186">
        <v>1043.0999999999999</v>
      </c>
      <c r="L981" s="187">
        <v>59</v>
      </c>
      <c r="M981" s="185" t="s">
        <v>271</v>
      </c>
      <c r="N981" s="185" t="s">
        <v>275</v>
      </c>
      <c r="O981" s="188" t="s">
        <v>1694</v>
      </c>
      <c r="P981" s="189">
        <v>2249559.61</v>
      </c>
      <c r="Q981" s="189">
        <v>0</v>
      </c>
      <c r="R981" s="189">
        <v>0</v>
      </c>
      <c r="S981" s="189">
        <f t="shared" si="155"/>
        <v>2249559.61</v>
      </c>
      <c r="T981" s="189">
        <f t="shared" si="157"/>
        <v>1249.4776771828481</v>
      </c>
      <c r="U981" s="189">
        <f>T981</f>
        <v>1249.4776771828481</v>
      </c>
      <c r="V981" s="170">
        <f t="shared" si="153"/>
        <v>0</v>
      </c>
      <c r="W981" s="170"/>
      <c r="X981" s="170"/>
      <c r="Y981" s="173" t="e">
        <f t="shared" si="154"/>
        <v>#N/A</v>
      </c>
      <c r="AA981" s="173" t="e">
        <f t="shared" si="148"/>
        <v>#N/A</v>
      </c>
      <c r="AH981" s="173" t="e">
        <f t="shared" si="149"/>
        <v>#N/A</v>
      </c>
      <c r="AR981" s="173">
        <f>AS981*2207413/I981</f>
        <v>1226.0680959786714</v>
      </c>
      <c r="AS981" s="173">
        <f t="shared" si="150"/>
        <v>1</v>
      </c>
    </row>
    <row r="982" spans="1:45" s="173" customFormat="1" ht="36" customHeight="1" x14ac:dyDescent="0.9">
      <c r="A982" s="173">
        <v>1</v>
      </c>
      <c r="B982" s="91">
        <f>SUBTOTAL(103,$A$957:A982)</f>
        <v>26</v>
      </c>
      <c r="C982" s="90" t="s">
        <v>602</v>
      </c>
      <c r="D982" s="185">
        <v>1962</v>
      </c>
      <c r="E982" s="185"/>
      <c r="F982" s="191" t="s">
        <v>273</v>
      </c>
      <c r="G982" s="185">
        <v>5</v>
      </c>
      <c r="H982" s="185">
        <v>4</v>
      </c>
      <c r="I982" s="186">
        <v>4073.9</v>
      </c>
      <c r="J982" s="186">
        <v>3133.8</v>
      </c>
      <c r="K982" s="186">
        <v>2004.3</v>
      </c>
      <c r="L982" s="187">
        <v>154</v>
      </c>
      <c r="M982" s="185" t="s">
        <v>271</v>
      </c>
      <c r="N982" s="185" t="s">
        <v>275</v>
      </c>
      <c r="O982" s="188" t="s">
        <v>1116</v>
      </c>
      <c r="P982" s="189">
        <v>3899114.33</v>
      </c>
      <c r="Q982" s="189">
        <v>0</v>
      </c>
      <c r="R982" s="189">
        <v>0</v>
      </c>
      <c r="S982" s="189">
        <f t="shared" si="155"/>
        <v>3899114.33</v>
      </c>
      <c r="T982" s="189">
        <f t="shared" si="157"/>
        <v>957.09622965708536</v>
      </c>
      <c r="U982" s="189">
        <f t="shared" ref="U982:U987" si="158">Y982</f>
        <v>1081.8132992955154</v>
      </c>
      <c r="V982" s="170">
        <f t="shared" si="153"/>
        <v>124.71706963843008</v>
      </c>
      <c r="W982" s="170"/>
      <c r="X982" s="170"/>
      <c r="Y982" s="173">
        <f t="shared" si="154"/>
        <v>1081.8132992955154</v>
      </c>
      <c r="AA982" s="173">
        <f t="shared" si="148"/>
        <v>844</v>
      </c>
      <c r="AH982" s="173" t="e">
        <f t="shared" si="149"/>
        <v>#N/A</v>
      </c>
      <c r="AS982" s="173" t="e">
        <f t="shared" si="150"/>
        <v>#N/A</v>
      </c>
    </row>
    <row r="983" spans="1:45" s="173" customFormat="1" ht="36" customHeight="1" x14ac:dyDescent="0.9">
      <c r="A983" s="173">
        <v>1</v>
      </c>
      <c r="B983" s="91">
        <f>SUBTOTAL(103,$A$957:A983)</f>
        <v>27</v>
      </c>
      <c r="C983" s="90" t="s">
        <v>1679</v>
      </c>
      <c r="D983" s="185">
        <v>1962</v>
      </c>
      <c r="E983" s="185"/>
      <c r="F983" s="191" t="s">
        <v>273</v>
      </c>
      <c r="G983" s="185">
        <v>4</v>
      </c>
      <c r="H983" s="185">
        <v>3</v>
      </c>
      <c r="I983" s="186">
        <v>2132.1</v>
      </c>
      <c r="J983" s="186">
        <v>1746.6</v>
      </c>
      <c r="K983" s="186">
        <v>1691.5</v>
      </c>
      <c r="L983" s="187">
        <v>107</v>
      </c>
      <c r="M983" s="185" t="s">
        <v>271</v>
      </c>
      <c r="N983" s="185" t="s">
        <v>275</v>
      </c>
      <c r="O983" s="188" t="s">
        <v>1116</v>
      </c>
      <c r="P983" s="189">
        <v>4374650</v>
      </c>
      <c r="Q983" s="189">
        <v>0</v>
      </c>
      <c r="R983" s="189">
        <v>0</v>
      </c>
      <c r="S983" s="189">
        <f t="shared" si="155"/>
        <v>4374650</v>
      </c>
      <c r="T983" s="189">
        <f t="shared" si="157"/>
        <v>2051.8033863327237</v>
      </c>
      <c r="U983" s="189">
        <f t="shared" si="158"/>
        <v>2351.169269734065</v>
      </c>
      <c r="V983" s="170">
        <f t="shared" si="153"/>
        <v>299.36588340134131</v>
      </c>
      <c r="W983" s="170"/>
      <c r="X983" s="170"/>
      <c r="Y983" s="173">
        <f t="shared" si="154"/>
        <v>2351.169269734065</v>
      </c>
      <c r="AA983" s="173">
        <f t="shared" si="148"/>
        <v>960</v>
      </c>
      <c r="AH983" s="173" t="e">
        <f t="shared" si="149"/>
        <v>#N/A</v>
      </c>
      <c r="AS983" s="173" t="e">
        <f t="shared" si="150"/>
        <v>#N/A</v>
      </c>
    </row>
    <row r="984" spans="1:45" s="173" customFormat="1" ht="36" customHeight="1" x14ac:dyDescent="0.9">
      <c r="A984" s="173">
        <v>1</v>
      </c>
      <c r="B984" s="91">
        <f>SUBTOTAL(103,$A$957:A984)</f>
        <v>28</v>
      </c>
      <c r="C984" s="90" t="s">
        <v>1680</v>
      </c>
      <c r="D984" s="185">
        <v>1961</v>
      </c>
      <c r="E984" s="185"/>
      <c r="F984" s="191" t="s">
        <v>273</v>
      </c>
      <c r="G984" s="185">
        <v>5</v>
      </c>
      <c r="H984" s="185">
        <v>4</v>
      </c>
      <c r="I984" s="186">
        <v>3214.5</v>
      </c>
      <c r="J984" s="186">
        <v>2566.5</v>
      </c>
      <c r="K984" s="186">
        <v>2416.1999999999998</v>
      </c>
      <c r="L984" s="187">
        <v>167</v>
      </c>
      <c r="M984" s="185" t="s">
        <v>271</v>
      </c>
      <c r="N984" s="185" t="s">
        <v>275</v>
      </c>
      <c r="O984" s="188" t="s">
        <v>1116</v>
      </c>
      <c r="P984" s="189">
        <v>5613232.8199999994</v>
      </c>
      <c r="Q984" s="189">
        <v>0</v>
      </c>
      <c r="R984" s="189">
        <v>0</v>
      </c>
      <c r="S984" s="189">
        <f t="shared" si="155"/>
        <v>5613232.8199999994</v>
      </c>
      <c r="T984" s="189">
        <f t="shared" si="157"/>
        <v>1746.222684709908</v>
      </c>
      <c r="U984" s="189">
        <f t="shared" si="158"/>
        <v>1746.2855809612693</v>
      </c>
      <c r="V984" s="170">
        <f t="shared" si="153"/>
        <v>6.289625136128052E-2</v>
      </c>
      <c r="W984" s="170"/>
      <c r="X984" s="170"/>
      <c r="Y984" s="173">
        <f t="shared" si="154"/>
        <v>1746.2855809612693</v>
      </c>
      <c r="AA984" s="173">
        <f t="shared" si="148"/>
        <v>1075</v>
      </c>
      <c r="AH984" s="173" t="e">
        <f t="shared" si="149"/>
        <v>#N/A</v>
      </c>
      <c r="AS984" s="173" t="e">
        <f t="shared" si="150"/>
        <v>#N/A</v>
      </c>
    </row>
    <row r="985" spans="1:45" s="173" customFormat="1" ht="36" customHeight="1" x14ac:dyDescent="0.9">
      <c r="A985" s="173">
        <v>1</v>
      </c>
      <c r="B985" s="91">
        <f>SUBTOTAL(103,$A$957:A985)</f>
        <v>29</v>
      </c>
      <c r="C985" s="90" t="s">
        <v>603</v>
      </c>
      <c r="D985" s="185" t="s">
        <v>369</v>
      </c>
      <c r="E985" s="185"/>
      <c r="F985" s="191" t="s">
        <v>319</v>
      </c>
      <c r="G985" s="185" t="s">
        <v>360</v>
      </c>
      <c r="H985" s="185">
        <v>4</v>
      </c>
      <c r="I985" s="186">
        <v>4425.6000000000004</v>
      </c>
      <c r="J985" s="186">
        <v>3128.2</v>
      </c>
      <c r="K985" s="186">
        <v>1799.3</v>
      </c>
      <c r="L985" s="187">
        <v>137</v>
      </c>
      <c r="M985" s="185" t="s">
        <v>271</v>
      </c>
      <c r="N985" s="185" t="s">
        <v>275</v>
      </c>
      <c r="O985" s="188" t="s">
        <v>1116</v>
      </c>
      <c r="P985" s="189">
        <v>3834609.35</v>
      </c>
      <c r="Q985" s="189">
        <v>0</v>
      </c>
      <c r="R985" s="189">
        <v>0</v>
      </c>
      <c r="S985" s="189">
        <f t="shared" si="155"/>
        <v>3834609.35</v>
      </c>
      <c r="T985" s="189">
        <f t="shared" si="157"/>
        <v>866.46089795733906</v>
      </c>
      <c r="U985" s="189">
        <f t="shared" si="158"/>
        <v>981.68329718004338</v>
      </c>
      <c r="V985" s="170">
        <f t="shared" si="153"/>
        <v>115.22239922270433</v>
      </c>
      <c r="W985" s="170"/>
      <c r="X985" s="170"/>
      <c r="Y985" s="173">
        <f t="shared" si="154"/>
        <v>981.68329718004338</v>
      </c>
      <c r="AA985" s="173">
        <f t="shared" si="148"/>
        <v>832</v>
      </c>
      <c r="AH985" s="173" t="e">
        <f t="shared" si="149"/>
        <v>#N/A</v>
      </c>
      <c r="AS985" s="173" t="e">
        <f t="shared" si="150"/>
        <v>#N/A</v>
      </c>
    </row>
    <row r="986" spans="1:45" s="173" customFormat="1" ht="36" customHeight="1" x14ac:dyDescent="0.9">
      <c r="A986" s="173">
        <v>1</v>
      </c>
      <c r="B986" s="91">
        <f>SUBTOTAL(103,$A$957:A986)</f>
        <v>30</v>
      </c>
      <c r="C986" s="90" t="s">
        <v>604</v>
      </c>
      <c r="D986" s="185" t="s">
        <v>379</v>
      </c>
      <c r="E986" s="185"/>
      <c r="F986" s="191" t="s">
        <v>319</v>
      </c>
      <c r="G986" s="185" t="s">
        <v>360</v>
      </c>
      <c r="H986" s="185">
        <v>3</v>
      </c>
      <c r="I986" s="186">
        <v>2899.7</v>
      </c>
      <c r="J986" s="186">
        <v>2636.4</v>
      </c>
      <c r="K986" s="186">
        <v>2071.8000000000002</v>
      </c>
      <c r="L986" s="187">
        <v>83</v>
      </c>
      <c r="M986" s="185" t="s">
        <v>271</v>
      </c>
      <c r="N986" s="185" t="s">
        <v>275</v>
      </c>
      <c r="O986" s="188" t="s">
        <v>1100</v>
      </c>
      <c r="P986" s="189">
        <v>2834067.58</v>
      </c>
      <c r="Q986" s="189">
        <v>0</v>
      </c>
      <c r="R986" s="189">
        <v>0</v>
      </c>
      <c r="S986" s="189">
        <f t="shared" si="155"/>
        <v>2834067.58</v>
      </c>
      <c r="T986" s="189">
        <f t="shared" si="157"/>
        <v>977.36578956443782</v>
      </c>
      <c r="U986" s="189">
        <f t="shared" si="158"/>
        <v>1119.2015380901473</v>
      </c>
      <c r="V986" s="170">
        <f t="shared" si="153"/>
        <v>141.8357485257095</v>
      </c>
      <c r="W986" s="170"/>
      <c r="X986" s="170"/>
      <c r="Y986" s="173">
        <f t="shared" si="154"/>
        <v>1119.2015380901473</v>
      </c>
      <c r="AA986" s="173">
        <f t="shared" si="148"/>
        <v>621.5</v>
      </c>
      <c r="AH986" s="173" t="e">
        <f t="shared" si="149"/>
        <v>#N/A</v>
      </c>
      <c r="AS986" s="173" t="e">
        <f t="shared" si="150"/>
        <v>#N/A</v>
      </c>
    </row>
    <row r="987" spans="1:45" s="173" customFormat="1" ht="36" customHeight="1" x14ac:dyDescent="0.9">
      <c r="A987" s="173">
        <v>1</v>
      </c>
      <c r="B987" s="91">
        <f>SUBTOTAL(103,$A$957:A987)</f>
        <v>31</v>
      </c>
      <c r="C987" s="90" t="s">
        <v>605</v>
      </c>
      <c r="D987" s="185">
        <v>1959</v>
      </c>
      <c r="E987" s="185"/>
      <c r="F987" s="191" t="s">
        <v>273</v>
      </c>
      <c r="G987" s="185">
        <v>5</v>
      </c>
      <c r="H987" s="185">
        <v>3</v>
      </c>
      <c r="I987" s="186">
        <v>5255.6</v>
      </c>
      <c r="J987" s="186">
        <v>3803.1</v>
      </c>
      <c r="K987" s="186">
        <v>2288.9</v>
      </c>
      <c r="L987" s="187">
        <v>136</v>
      </c>
      <c r="M987" s="185" t="s">
        <v>271</v>
      </c>
      <c r="N987" s="185" t="s">
        <v>275</v>
      </c>
      <c r="O987" s="188" t="s">
        <v>1116</v>
      </c>
      <c r="P987" s="189">
        <v>6697616.7399999993</v>
      </c>
      <c r="Q987" s="189">
        <v>0</v>
      </c>
      <c r="R987" s="189">
        <v>0</v>
      </c>
      <c r="S987" s="189">
        <f t="shared" si="155"/>
        <v>6697616.7399999993</v>
      </c>
      <c r="T987" s="189">
        <f t="shared" si="157"/>
        <v>1274.3771862394397</v>
      </c>
      <c r="U987" s="189">
        <f t="shared" si="158"/>
        <v>1437.6940025877159</v>
      </c>
      <c r="V987" s="170">
        <f t="shared" si="153"/>
        <v>163.31681634827623</v>
      </c>
      <c r="W987" s="170"/>
      <c r="X987" s="170"/>
      <c r="Y987" s="173">
        <f t="shared" si="154"/>
        <v>1437.6940025877159</v>
      </c>
      <c r="AA987" s="173">
        <f t="shared" si="148"/>
        <v>1447</v>
      </c>
      <c r="AH987" s="173" t="e">
        <f t="shared" si="149"/>
        <v>#N/A</v>
      </c>
      <c r="AS987" s="173" t="e">
        <f t="shared" si="150"/>
        <v>#N/A</v>
      </c>
    </row>
    <row r="988" spans="1:45" s="173" customFormat="1" ht="36" customHeight="1" x14ac:dyDescent="0.9">
      <c r="A988" s="173">
        <v>1</v>
      </c>
      <c r="B988" s="91">
        <f>SUBTOTAL(103,$A$957:A988)</f>
        <v>32</v>
      </c>
      <c r="C988" s="90" t="s">
        <v>606</v>
      </c>
      <c r="D988" s="185" t="s">
        <v>370</v>
      </c>
      <c r="E988" s="185"/>
      <c r="F988" s="191" t="s">
        <v>273</v>
      </c>
      <c r="G988" s="185" t="s">
        <v>360</v>
      </c>
      <c r="H988" s="185">
        <v>3</v>
      </c>
      <c r="I988" s="186">
        <v>2923.9</v>
      </c>
      <c r="J988" s="186">
        <v>2704.4</v>
      </c>
      <c r="K988" s="186">
        <v>1930.7</v>
      </c>
      <c r="L988" s="187">
        <v>105</v>
      </c>
      <c r="M988" s="185" t="s">
        <v>271</v>
      </c>
      <c r="N988" s="185" t="s">
        <v>275</v>
      </c>
      <c r="O988" s="188" t="s">
        <v>1697</v>
      </c>
      <c r="P988" s="189">
        <v>5163885</v>
      </c>
      <c r="Q988" s="189">
        <v>0</v>
      </c>
      <c r="R988" s="189">
        <v>0</v>
      </c>
      <c r="S988" s="189">
        <f t="shared" si="155"/>
        <v>5163885</v>
      </c>
      <c r="T988" s="189">
        <f t="shared" si="157"/>
        <v>1766.0949416874721</v>
      </c>
      <c r="U988" s="189">
        <f>AG988</f>
        <v>3516.3972193462505</v>
      </c>
      <c r="V988" s="170">
        <f t="shared" si="153"/>
        <v>1750.3022776587784</v>
      </c>
      <c r="W988" s="170"/>
      <c r="X988" s="170"/>
      <c r="Y988" s="173" t="e">
        <f t="shared" si="154"/>
        <v>#N/A</v>
      </c>
      <c r="AA988" s="173" t="e">
        <f t="shared" ref="AA988:AA1051" si="159">VLOOKUP(C988,AC:AE,2,FALSE)</f>
        <v>#N/A</v>
      </c>
      <c r="AG988" s="173">
        <f>AH988*6191.24/J988</f>
        <v>3516.3972193462505</v>
      </c>
      <c r="AH988" s="173">
        <f t="shared" ref="AH988:AH1051" si="160">VLOOKUP(C988,AJ:AK,2,FALSE)</f>
        <v>1536</v>
      </c>
      <c r="AS988" s="173" t="e">
        <f t="shared" ref="AS988:AS1051" si="161">VLOOKUP(C988,AU:AV,2,FALSE)</f>
        <v>#N/A</v>
      </c>
    </row>
    <row r="989" spans="1:45" s="173" customFormat="1" ht="36" customHeight="1" x14ac:dyDescent="0.9">
      <c r="A989" s="173">
        <v>1</v>
      </c>
      <c r="B989" s="91">
        <f>SUBTOTAL(103,$A$957:A989)</f>
        <v>33</v>
      </c>
      <c r="C989" s="90" t="s">
        <v>607</v>
      </c>
      <c r="D989" s="185" t="s">
        <v>321</v>
      </c>
      <c r="E989" s="185"/>
      <c r="F989" s="191" t="s">
        <v>319</v>
      </c>
      <c r="G989" s="185" t="s">
        <v>360</v>
      </c>
      <c r="H989" s="185">
        <v>5</v>
      </c>
      <c r="I989" s="186">
        <v>4700.6000000000004</v>
      </c>
      <c r="J989" s="186">
        <v>3460</v>
      </c>
      <c r="K989" s="186">
        <v>3460</v>
      </c>
      <c r="L989" s="187">
        <v>133</v>
      </c>
      <c r="M989" s="185" t="s">
        <v>271</v>
      </c>
      <c r="N989" s="185" t="s">
        <v>275</v>
      </c>
      <c r="O989" s="188" t="s">
        <v>1698</v>
      </c>
      <c r="P989" s="189">
        <v>4343671.0699999994</v>
      </c>
      <c r="Q989" s="189">
        <v>0</v>
      </c>
      <c r="R989" s="189">
        <v>0</v>
      </c>
      <c r="S989" s="189">
        <f t="shared" si="155"/>
        <v>4343671.0699999994</v>
      </c>
      <c r="T989" s="189">
        <f t="shared" si="157"/>
        <v>924.06736799557484</v>
      </c>
      <c r="U989" s="189">
        <f>Y989</f>
        <v>1043.2269029485597</v>
      </c>
      <c r="V989" s="170">
        <f t="shared" si="153"/>
        <v>119.15953495298481</v>
      </c>
      <c r="W989" s="170"/>
      <c r="X989" s="170"/>
      <c r="Y989" s="173">
        <f t="shared" si="154"/>
        <v>1043.2269029485597</v>
      </c>
      <c r="AA989" s="173">
        <f t="shared" si="159"/>
        <v>939.1</v>
      </c>
      <c r="AH989" s="173" t="e">
        <f t="shared" si="160"/>
        <v>#N/A</v>
      </c>
      <c r="AS989" s="173" t="e">
        <f t="shared" si="161"/>
        <v>#N/A</v>
      </c>
    </row>
    <row r="990" spans="1:45" s="173" customFormat="1" ht="36" customHeight="1" x14ac:dyDescent="0.9">
      <c r="A990" s="173">
        <v>1</v>
      </c>
      <c r="B990" s="91">
        <f>SUBTOTAL(103,$A$957:A990)</f>
        <v>34</v>
      </c>
      <c r="C990" s="90" t="s">
        <v>608</v>
      </c>
      <c r="D990" s="185" t="s">
        <v>318</v>
      </c>
      <c r="E990" s="185"/>
      <c r="F990" s="191" t="s">
        <v>273</v>
      </c>
      <c r="G990" s="185" t="s">
        <v>360</v>
      </c>
      <c r="H990" s="185">
        <v>4</v>
      </c>
      <c r="I990" s="186">
        <v>2288.5</v>
      </c>
      <c r="J990" s="186">
        <v>2288.5</v>
      </c>
      <c r="K990" s="186">
        <v>2288.5</v>
      </c>
      <c r="L990" s="187">
        <v>98</v>
      </c>
      <c r="M990" s="185" t="s">
        <v>271</v>
      </c>
      <c r="N990" s="185" t="s">
        <v>275</v>
      </c>
      <c r="O990" s="188" t="s">
        <v>1685</v>
      </c>
      <c r="P990" s="189">
        <v>2694844.11</v>
      </c>
      <c r="Q990" s="189">
        <v>0</v>
      </c>
      <c r="R990" s="189">
        <v>0</v>
      </c>
      <c r="S990" s="189">
        <f t="shared" si="155"/>
        <v>2694844.11</v>
      </c>
      <c r="T990" s="189">
        <f t="shared" si="157"/>
        <v>1177.5591479134805</v>
      </c>
      <c r="U990" s="189">
        <f>Y990</f>
        <v>1341.6728861699803</v>
      </c>
      <c r="V990" s="170">
        <f t="shared" si="153"/>
        <v>164.1137382564998</v>
      </c>
      <c r="W990" s="170"/>
      <c r="X990" s="170"/>
      <c r="Y990" s="173">
        <f t="shared" si="154"/>
        <v>1341.6728861699803</v>
      </c>
      <c r="AA990" s="173">
        <f t="shared" si="159"/>
        <v>588</v>
      </c>
      <c r="AH990" s="173" t="e">
        <f t="shared" si="160"/>
        <v>#N/A</v>
      </c>
      <c r="AS990" s="173" t="e">
        <f t="shared" si="161"/>
        <v>#N/A</v>
      </c>
    </row>
    <row r="991" spans="1:45" s="173" customFormat="1" ht="36" customHeight="1" x14ac:dyDescent="0.9">
      <c r="A991" s="173">
        <v>1</v>
      </c>
      <c r="B991" s="91">
        <f>SUBTOTAL(103,$A$957:A991)</f>
        <v>35</v>
      </c>
      <c r="C991" s="90" t="s">
        <v>609</v>
      </c>
      <c r="D991" s="185">
        <v>1961</v>
      </c>
      <c r="E991" s="185"/>
      <c r="F991" s="191" t="s">
        <v>273</v>
      </c>
      <c r="G991" s="185">
        <v>5</v>
      </c>
      <c r="H991" s="185">
        <v>2</v>
      </c>
      <c r="I991" s="186">
        <v>1703.9</v>
      </c>
      <c r="J991" s="186">
        <v>1558.5</v>
      </c>
      <c r="K991" s="186">
        <v>1516.4</v>
      </c>
      <c r="L991" s="187">
        <v>58</v>
      </c>
      <c r="M991" s="185" t="s">
        <v>271</v>
      </c>
      <c r="N991" s="185" t="s">
        <v>275</v>
      </c>
      <c r="O991" s="188" t="s">
        <v>1424</v>
      </c>
      <c r="P991" s="189">
        <v>4820291</v>
      </c>
      <c r="Q991" s="189">
        <v>0</v>
      </c>
      <c r="R991" s="189">
        <v>0</v>
      </c>
      <c r="S991" s="189">
        <f t="shared" si="155"/>
        <v>4820291</v>
      </c>
      <c r="T991" s="189">
        <f t="shared" si="157"/>
        <v>2828.9752919772286</v>
      </c>
      <c r="U991" s="189">
        <f>AG991</f>
        <v>5660.9027911453322</v>
      </c>
      <c r="V991" s="170">
        <f t="shared" si="153"/>
        <v>2831.9274991681036</v>
      </c>
      <c r="W991" s="170"/>
      <c r="X991" s="170"/>
      <c r="Y991" s="173" t="e">
        <f t="shared" si="154"/>
        <v>#N/A</v>
      </c>
      <c r="AA991" s="173" t="e">
        <f t="shared" si="159"/>
        <v>#N/A</v>
      </c>
      <c r="AG991" s="173">
        <f>AH991*6191.24/J991</f>
        <v>5660.9027911453322</v>
      </c>
      <c r="AH991" s="173">
        <f t="shared" si="160"/>
        <v>1425</v>
      </c>
      <c r="AS991" s="173" t="e">
        <f t="shared" si="161"/>
        <v>#N/A</v>
      </c>
    </row>
    <row r="992" spans="1:45" s="173" customFormat="1" ht="36" customHeight="1" x14ac:dyDescent="0.9">
      <c r="A992" s="173">
        <v>1</v>
      </c>
      <c r="B992" s="91">
        <f>SUBTOTAL(103,$A$957:A992)</f>
        <v>36</v>
      </c>
      <c r="C992" s="90" t="s">
        <v>610</v>
      </c>
      <c r="D992" s="185" t="s">
        <v>386</v>
      </c>
      <c r="E992" s="185"/>
      <c r="F992" s="191" t="s">
        <v>319</v>
      </c>
      <c r="G992" s="185" t="s">
        <v>360</v>
      </c>
      <c r="H992" s="185">
        <v>3</v>
      </c>
      <c r="I992" s="186">
        <v>2065.4</v>
      </c>
      <c r="J992" s="186">
        <v>1169.5</v>
      </c>
      <c r="K992" s="186">
        <v>1169.5</v>
      </c>
      <c r="L992" s="187">
        <v>91</v>
      </c>
      <c r="M992" s="185" t="s">
        <v>271</v>
      </c>
      <c r="N992" s="185" t="s">
        <v>275</v>
      </c>
      <c r="O992" s="188" t="s">
        <v>1692</v>
      </c>
      <c r="P992" s="189">
        <v>2571262.73</v>
      </c>
      <c r="Q992" s="189">
        <v>0</v>
      </c>
      <c r="R992" s="189">
        <v>0</v>
      </c>
      <c r="S992" s="189">
        <f t="shared" si="155"/>
        <v>2571262.73</v>
      </c>
      <c r="T992" s="189">
        <f t="shared" si="157"/>
        <v>1244.9224024402051</v>
      </c>
      <c r="U992" s="189">
        <f t="shared" ref="U992:U1010" si="162">Y992</f>
        <v>1420.8635615377166</v>
      </c>
      <c r="V992" s="170">
        <f t="shared" si="153"/>
        <v>175.94115909751144</v>
      </c>
      <c r="W992" s="170"/>
      <c r="X992" s="170"/>
      <c r="Y992" s="173">
        <f t="shared" si="154"/>
        <v>1420.8635615377166</v>
      </c>
      <c r="AA992" s="173">
        <f t="shared" si="159"/>
        <v>562</v>
      </c>
      <c r="AH992" s="173" t="e">
        <f t="shared" si="160"/>
        <v>#N/A</v>
      </c>
      <c r="AS992" s="173" t="e">
        <f t="shared" si="161"/>
        <v>#N/A</v>
      </c>
    </row>
    <row r="993" spans="1:45" s="173" customFormat="1" ht="36" customHeight="1" x14ac:dyDescent="0.9">
      <c r="A993" s="173">
        <v>1</v>
      </c>
      <c r="B993" s="91">
        <f>SUBTOTAL(103,$A$957:A993)</f>
        <v>37</v>
      </c>
      <c r="C993" s="90" t="s">
        <v>611</v>
      </c>
      <c r="D993" s="185">
        <v>1972</v>
      </c>
      <c r="E993" s="185"/>
      <c r="F993" s="191" t="s">
        <v>273</v>
      </c>
      <c r="G993" s="185">
        <v>9</v>
      </c>
      <c r="H993" s="185">
        <v>1</v>
      </c>
      <c r="I993" s="186">
        <v>1896.4</v>
      </c>
      <c r="J993" s="186">
        <v>1896.4</v>
      </c>
      <c r="K993" s="186">
        <v>1859.1</v>
      </c>
      <c r="L993" s="187">
        <v>135</v>
      </c>
      <c r="M993" s="185" t="s">
        <v>271</v>
      </c>
      <c r="N993" s="185" t="s">
        <v>275</v>
      </c>
      <c r="O993" s="188" t="s">
        <v>1412</v>
      </c>
      <c r="P993" s="189">
        <v>1989100.53</v>
      </c>
      <c r="Q993" s="189">
        <v>0</v>
      </c>
      <c r="R993" s="189">
        <v>0</v>
      </c>
      <c r="S993" s="189">
        <f t="shared" si="155"/>
        <v>1989100.53</v>
      </c>
      <c r="T993" s="189">
        <f t="shared" si="157"/>
        <v>1048.8823718624762</v>
      </c>
      <c r="U993" s="189">
        <f t="shared" si="162"/>
        <v>1101.413203965408</v>
      </c>
      <c r="V993" s="170">
        <f t="shared" si="153"/>
        <v>52.530832102931754</v>
      </c>
      <c r="W993" s="170"/>
      <c r="X993" s="170"/>
      <c r="Y993" s="173">
        <f t="shared" si="154"/>
        <v>1101.413203965408</v>
      </c>
      <c r="AA993" s="173">
        <f t="shared" si="159"/>
        <v>400</v>
      </c>
      <c r="AH993" s="173" t="e">
        <f t="shared" si="160"/>
        <v>#N/A</v>
      </c>
      <c r="AS993" s="173" t="e">
        <f t="shared" si="161"/>
        <v>#N/A</v>
      </c>
    </row>
    <row r="994" spans="1:45" s="173" customFormat="1" ht="36" customHeight="1" x14ac:dyDescent="0.9">
      <c r="A994" s="173">
        <v>1</v>
      </c>
      <c r="B994" s="91">
        <f>SUBTOTAL(103,$A$957:A994)</f>
        <v>38</v>
      </c>
      <c r="C994" s="90" t="s">
        <v>612</v>
      </c>
      <c r="D994" s="185" t="s">
        <v>324</v>
      </c>
      <c r="E994" s="185"/>
      <c r="F994" s="191" t="s">
        <v>319</v>
      </c>
      <c r="G994" s="185" t="s">
        <v>360</v>
      </c>
      <c r="H994" s="185">
        <v>4</v>
      </c>
      <c r="I994" s="186">
        <v>3873.3</v>
      </c>
      <c r="J994" s="186">
        <v>3605.48</v>
      </c>
      <c r="K994" s="186">
        <v>3540.2</v>
      </c>
      <c r="L994" s="187">
        <v>165</v>
      </c>
      <c r="M994" s="185" t="s">
        <v>271</v>
      </c>
      <c r="N994" s="185" t="s">
        <v>275</v>
      </c>
      <c r="O994" s="188" t="s">
        <v>1100</v>
      </c>
      <c r="P994" s="189">
        <v>4272967.33</v>
      </c>
      <c r="Q994" s="189">
        <v>0</v>
      </c>
      <c r="R994" s="189">
        <v>0</v>
      </c>
      <c r="S994" s="189">
        <f t="shared" si="155"/>
        <v>4272967.33</v>
      </c>
      <c r="T994" s="189">
        <f t="shared" si="157"/>
        <v>1103.1852244855806</v>
      </c>
      <c r="U994" s="189">
        <f t="shared" si="162"/>
        <v>1294.226628456355</v>
      </c>
      <c r="V994" s="170">
        <f t="shared" si="153"/>
        <v>191.04140397077435</v>
      </c>
      <c r="W994" s="170"/>
      <c r="X994" s="170"/>
      <c r="Y994" s="173">
        <f t="shared" si="154"/>
        <v>1294.226628456355</v>
      </c>
      <c r="AA994" s="173">
        <f t="shared" si="159"/>
        <v>960</v>
      </c>
      <c r="AH994" s="173" t="e">
        <f t="shared" si="160"/>
        <v>#N/A</v>
      </c>
      <c r="AS994" s="173" t="e">
        <f t="shared" si="161"/>
        <v>#N/A</v>
      </c>
    </row>
    <row r="995" spans="1:45" s="173" customFormat="1" ht="36" customHeight="1" x14ac:dyDescent="0.9">
      <c r="A995" s="173">
        <v>1</v>
      </c>
      <c r="B995" s="91">
        <f>SUBTOTAL(103,$A$957:A995)</f>
        <v>39</v>
      </c>
      <c r="C995" s="90" t="s">
        <v>613</v>
      </c>
      <c r="D995" s="185" t="s">
        <v>387</v>
      </c>
      <c r="E995" s="185"/>
      <c r="F995" s="191" t="s">
        <v>319</v>
      </c>
      <c r="G995" s="185" t="s">
        <v>360</v>
      </c>
      <c r="H995" s="185">
        <v>4</v>
      </c>
      <c r="I995" s="186">
        <v>3881.3</v>
      </c>
      <c r="J995" s="186">
        <v>3615.9</v>
      </c>
      <c r="K995" s="186">
        <v>3551.2</v>
      </c>
      <c r="L995" s="187">
        <v>182</v>
      </c>
      <c r="M995" s="185" t="s">
        <v>271</v>
      </c>
      <c r="N995" s="185" t="s">
        <v>275</v>
      </c>
      <c r="O995" s="188" t="s">
        <v>1100</v>
      </c>
      <c r="P995" s="189">
        <v>4272967.33</v>
      </c>
      <c r="Q995" s="189">
        <v>0</v>
      </c>
      <c r="R995" s="189">
        <v>0</v>
      </c>
      <c r="S995" s="189">
        <f t="shared" si="155"/>
        <v>4272967.33</v>
      </c>
      <c r="T995" s="189">
        <f t="shared" si="157"/>
        <v>1100.9113776312061</v>
      </c>
      <c r="U995" s="189">
        <f t="shared" si="162"/>
        <v>1291.5590137325123</v>
      </c>
      <c r="V995" s="170">
        <f t="shared" si="153"/>
        <v>190.64763610130626</v>
      </c>
      <c r="W995" s="170"/>
      <c r="X995" s="170"/>
      <c r="Y995" s="173">
        <f t="shared" si="154"/>
        <v>1291.5590137325123</v>
      </c>
      <c r="AA995" s="173">
        <f t="shared" si="159"/>
        <v>960</v>
      </c>
      <c r="AH995" s="173" t="e">
        <f t="shared" si="160"/>
        <v>#N/A</v>
      </c>
      <c r="AS995" s="173" t="e">
        <f t="shared" si="161"/>
        <v>#N/A</v>
      </c>
    </row>
    <row r="996" spans="1:45" s="173" customFormat="1" ht="36" customHeight="1" x14ac:dyDescent="0.9">
      <c r="A996" s="173">
        <v>1</v>
      </c>
      <c r="B996" s="91">
        <f>SUBTOTAL(103,$A$957:A996)</f>
        <v>40</v>
      </c>
      <c r="C996" s="90" t="s">
        <v>614</v>
      </c>
      <c r="D996" s="185" t="s">
        <v>359</v>
      </c>
      <c r="E996" s="185"/>
      <c r="F996" s="191" t="s">
        <v>273</v>
      </c>
      <c r="G996" s="185" t="s">
        <v>366</v>
      </c>
      <c r="H996" s="185">
        <v>1</v>
      </c>
      <c r="I996" s="186">
        <v>1835.8</v>
      </c>
      <c r="J996" s="186">
        <v>1835.8</v>
      </c>
      <c r="K996" s="186">
        <v>1783.4</v>
      </c>
      <c r="L996" s="187">
        <v>76</v>
      </c>
      <c r="M996" s="185" t="s">
        <v>271</v>
      </c>
      <c r="N996" s="185" t="s">
        <v>275</v>
      </c>
      <c r="O996" s="188" t="s">
        <v>1685</v>
      </c>
      <c r="P996" s="189">
        <v>1633943.5899999999</v>
      </c>
      <c r="Q996" s="189">
        <v>0</v>
      </c>
      <c r="R996" s="189">
        <v>0</v>
      </c>
      <c r="S996" s="189">
        <f t="shared" si="155"/>
        <v>1633943.5899999999</v>
      </c>
      <c r="T996" s="189">
        <f t="shared" si="157"/>
        <v>890.04444383919815</v>
      </c>
      <c r="U996" s="189">
        <f t="shared" si="162"/>
        <v>1037.647151105785</v>
      </c>
      <c r="V996" s="170">
        <f t="shared" ref="V996:V1059" si="163">U996-T996</f>
        <v>147.60270726658689</v>
      </c>
      <c r="W996" s="170"/>
      <c r="X996" s="170"/>
      <c r="Y996" s="173">
        <f t="shared" ref="Y996:Y1059" si="164">AA996*5221.8/I996</f>
        <v>1037.647151105785</v>
      </c>
      <c r="AA996" s="173">
        <f t="shared" si="159"/>
        <v>364.8</v>
      </c>
      <c r="AH996" s="173" t="e">
        <f t="shared" si="160"/>
        <v>#N/A</v>
      </c>
      <c r="AS996" s="173" t="e">
        <f t="shared" si="161"/>
        <v>#N/A</v>
      </c>
    </row>
    <row r="997" spans="1:45" s="173" customFormat="1" ht="36" customHeight="1" x14ac:dyDescent="0.9">
      <c r="A997" s="173">
        <v>1</v>
      </c>
      <c r="B997" s="91">
        <f>SUBTOTAL(103,$A$957:A997)</f>
        <v>41</v>
      </c>
      <c r="C997" s="90" t="s">
        <v>615</v>
      </c>
      <c r="D997" s="185" t="s">
        <v>388</v>
      </c>
      <c r="E997" s="185"/>
      <c r="F997" s="191" t="s">
        <v>319</v>
      </c>
      <c r="G997" s="185" t="s">
        <v>360</v>
      </c>
      <c r="H997" s="185">
        <v>4</v>
      </c>
      <c r="I997" s="186">
        <v>3888.9</v>
      </c>
      <c r="J997" s="186">
        <v>3557.1</v>
      </c>
      <c r="K997" s="186">
        <v>3511.4</v>
      </c>
      <c r="L997" s="187">
        <v>169</v>
      </c>
      <c r="M997" s="185" t="s">
        <v>271</v>
      </c>
      <c r="N997" s="185" t="s">
        <v>275</v>
      </c>
      <c r="O997" s="188" t="s">
        <v>1100</v>
      </c>
      <c r="P997" s="189">
        <v>4272967.33</v>
      </c>
      <c r="Q997" s="189">
        <v>0</v>
      </c>
      <c r="R997" s="189">
        <v>0</v>
      </c>
      <c r="S997" s="189">
        <f t="shared" si="155"/>
        <v>4272967.33</v>
      </c>
      <c r="T997" s="189">
        <f t="shared" si="157"/>
        <v>1098.7598884003189</v>
      </c>
      <c r="U997" s="189">
        <f t="shared" si="162"/>
        <v>1289.0349456144411</v>
      </c>
      <c r="V997" s="170">
        <f t="shared" si="163"/>
        <v>190.27505721412217</v>
      </c>
      <c r="W997" s="170"/>
      <c r="X997" s="170"/>
      <c r="Y997" s="173">
        <f t="shared" si="164"/>
        <v>1289.0349456144411</v>
      </c>
      <c r="AA997" s="173">
        <f t="shared" si="159"/>
        <v>960</v>
      </c>
      <c r="AH997" s="173" t="e">
        <f t="shared" si="160"/>
        <v>#N/A</v>
      </c>
      <c r="AS997" s="173" t="e">
        <f t="shared" si="161"/>
        <v>#N/A</v>
      </c>
    </row>
    <row r="998" spans="1:45" s="173" customFormat="1" ht="36" customHeight="1" x14ac:dyDescent="0.9">
      <c r="A998" s="173">
        <v>1</v>
      </c>
      <c r="B998" s="91">
        <f>SUBTOTAL(103,$A$957:A998)</f>
        <v>42</v>
      </c>
      <c r="C998" s="90" t="s">
        <v>617</v>
      </c>
      <c r="D998" s="185" t="s">
        <v>383</v>
      </c>
      <c r="E998" s="185"/>
      <c r="F998" s="191" t="s">
        <v>273</v>
      </c>
      <c r="G998" s="185" t="s">
        <v>360</v>
      </c>
      <c r="H998" s="185">
        <v>3</v>
      </c>
      <c r="I998" s="186">
        <v>2600.9</v>
      </c>
      <c r="J998" s="186">
        <v>2217.3000000000002</v>
      </c>
      <c r="K998" s="186">
        <v>2217.3000000000002</v>
      </c>
      <c r="L998" s="187">
        <v>72</v>
      </c>
      <c r="M998" s="185" t="s">
        <v>271</v>
      </c>
      <c r="N998" s="185" t="s">
        <v>275</v>
      </c>
      <c r="O998" s="188" t="s">
        <v>1410</v>
      </c>
      <c r="P998" s="189">
        <v>3064601.1799999997</v>
      </c>
      <c r="Q998" s="189">
        <v>0</v>
      </c>
      <c r="R998" s="189">
        <v>0</v>
      </c>
      <c r="S998" s="189">
        <f t="shared" si="155"/>
        <v>3064601.1799999997</v>
      </c>
      <c r="T998" s="189">
        <f t="shared" si="157"/>
        <v>1178.2848936906453</v>
      </c>
      <c r="U998" s="189">
        <f t="shared" si="162"/>
        <v>1345.1520627475104</v>
      </c>
      <c r="V998" s="170">
        <f t="shared" si="163"/>
        <v>166.86716905686512</v>
      </c>
      <c r="W998" s="170"/>
      <c r="X998" s="170"/>
      <c r="Y998" s="173">
        <f t="shared" si="164"/>
        <v>1345.1520627475104</v>
      </c>
      <c r="AA998" s="173">
        <f t="shared" si="159"/>
        <v>670</v>
      </c>
      <c r="AH998" s="173" t="e">
        <f t="shared" si="160"/>
        <v>#N/A</v>
      </c>
      <c r="AS998" s="173" t="e">
        <f t="shared" si="161"/>
        <v>#N/A</v>
      </c>
    </row>
    <row r="999" spans="1:45" s="173" customFormat="1" ht="36" customHeight="1" x14ac:dyDescent="0.9">
      <c r="A999" s="173">
        <v>1</v>
      </c>
      <c r="B999" s="91">
        <f>SUBTOTAL(103,$A$957:A999)</f>
        <v>43</v>
      </c>
      <c r="C999" s="90" t="s">
        <v>618</v>
      </c>
      <c r="D999" s="185" t="s">
        <v>378</v>
      </c>
      <c r="E999" s="185"/>
      <c r="F999" s="191" t="s">
        <v>273</v>
      </c>
      <c r="G999" s="185" t="s">
        <v>360</v>
      </c>
      <c r="H999" s="185">
        <v>1</v>
      </c>
      <c r="I999" s="186">
        <v>1129.8</v>
      </c>
      <c r="J999" s="186">
        <v>1033.3</v>
      </c>
      <c r="K999" s="186">
        <v>841.7</v>
      </c>
      <c r="L999" s="187">
        <v>41</v>
      </c>
      <c r="M999" s="185" t="s">
        <v>271</v>
      </c>
      <c r="N999" s="185" t="s">
        <v>275</v>
      </c>
      <c r="O999" s="188" t="s">
        <v>1424</v>
      </c>
      <c r="P999" s="189">
        <v>1046986.94</v>
      </c>
      <c r="Q999" s="189">
        <v>0</v>
      </c>
      <c r="R999" s="189">
        <v>0</v>
      </c>
      <c r="S999" s="189">
        <f t="shared" si="155"/>
        <v>1046986.94</v>
      </c>
      <c r="T999" s="189">
        <f t="shared" si="157"/>
        <v>926.70113294388386</v>
      </c>
      <c r="U999" s="189">
        <f t="shared" si="162"/>
        <v>1086.141795007966</v>
      </c>
      <c r="V999" s="170">
        <f t="shared" si="163"/>
        <v>159.44066206408218</v>
      </c>
      <c r="W999" s="170"/>
      <c r="X999" s="170"/>
      <c r="Y999" s="173">
        <f t="shared" si="164"/>
        <v>1086.141795007966</v>
      </c>
      <c r="AA999" s="173">
        <f t="shared" si="159"/>
        <v>235</v>
      </c>
      <c r="AH999" s="173" t="e">
        <f t="shared" si="160"/>
        <v>#N/A</v>
      </c>
      <c r="AS999" s="173" t="e">
        <f t="shared" si="161"/>
        <v>#N/A</v>
      </c>
    </row>
    <row r="1000" spans="1:45" s="173" customFormat="1" ht="36" customHeight="1" x14ac:dyDescent="0.9">
      <c r="A1000" s="173">
        <v>1</v>
      </c>
      <c r="B1000" s="91">
        <f>SUBTOTAL(103,$A$957:A1000)</f>
        <v>44</v>
      </c>
      <c r="C1000" s="90" t="s">
        <v>619</v>
      </c>
      <c r="D1000" s="185" t="s">
        <v>317</v>
      </c>
      <c r="E1000" s="185"/>
      <c r="F1000" s="191" t="s">
        <v>319</v>
      </c>
      <c r="G1000" s="185" t="s">
        <v>360</v>
      </c>
      <c r="H1000" s="185">
        <v>4</v>
      </c>
      <c r="I1000" s="186">
        <v>4027.5</v>
      </c>
      <c r="J1000" s="186">
        <v>3035.5</v>
      </c>
      <c r="K1000" s="186">
        <v>3037.2</v>
      </c>
      <c r="L1000" s="187">
        <v>135</v>
      </c>
      <c r="M1000" s="185" t="s">
        <v>271</v>
      </c>
      <c r="N1000" s="185" t="s">
        <v>275</v>
      </c>
      <c r="O1000" s="188" t="s">
        <v>1349</v>
      </c>
      <c r="P1000" s="189">
        <v>3516149.44</v>
      </c>
      <c r="Q1000" s="189">
        <v>0</v>
      </c>
      <c r="R1000" s="189">
        <v>0</v>
      </c>
      <c r="S1000" s="189">
        <f t="shared" si="155"/>
        <v>3516149.44</v>
      </c>
      <c r="T1000" s="189">
        <f t="shared" si="157"/>
        <v>873.03524270639355</v>
      </c>
      <c r="U1000" s="189">
        <f t="shared" si="162"/>
        <v>991.85027932960895</v>
      </c>
      <c r="V1000" s="170">
        <f t="shared" si="163"/>
        <v>118.81503662321541</v>
      </c>
      <c r="W1000" s="170"/>
      <c r="X1000" s="170"/>
      <c r="Y1000" s="173">
        <f t="shared" si="164"/>
        <v>991.85027932960895</v>
      </c>
      <c r="AA1000" s="173">
        <f t="shared" si="159"/>
        <v>765</v>
      </c>
      <c r="AH1000" s="173" t="e">
        <f t="shared" si="160"/>
        <v>#N/A</v>
      </c>
      <c r="AS1000" s="173" t="e">
        <f t="shared" si="161"/>
        <v>#N/A</v>
      </c>
    </row>
    <row r="1001" spans="1:45" s="173" customFormat="1" ht="36" customHeight="1" x14ac:dyDescent="0.9">
      <c r="A1001" s="173">
        <v>1</v>
      </c>
      <c r="B1001" s="91">
        <f>SUBTOTAL(103,$A$957:A1001)</f>
        <v>45</v>
      </c>
      <c r="C1001" s="90" t="s">
        <v>620</v>
      </c>
      <c r="D1001" s="185" t="s">
        <v>317</v>
      </c>
      <c r="E1001" s="185"/>
      <c r="F1001" s="191" t="s">
        <v>319</v>
      </c>
      <c r="G1001" s="185" t="s">
        <v>360</v>
      </c>
      <c r="H1001" s="185">
        <v>4</v>
      </c>
      <c r="I1001" s="186">
        <v>4003.9</v>
      </c>
      <c r="J1001" s="186">
        <v>30006.9</v>
      </c>
      <c r="K1001" s="186">
        <v>2831.8</v>
      </c>
      <c r="L1001" s="187">
        <v>130</v>
      </c>
      <c r="M1001" s="185" t="s">
        <v>271</v>
      </c>
      <c r="N1001" s="185" t="s">
        <v>275</v>
      </c>
      <c r="O1001" s="188" t="s">
        <v>1349</v>
      </c>
      <c r="P1001" s="189">
        <v>3493334.35</v>
      </c>
      <c r="Q1001" s="189">
        <v>0</v>
      </c>
      <c r="R1001" s="189">
        <v>0</v>
      </c>
      <c r="S1001" s="189">
        <f t="shared" si="155"/>
        <v>3493334.35</v>
      </c>
      <c r="T1001" s="189">
        <f t="shared" si="157"/>
        <v>872.48291665626016</v>
      </c>
      <c r="U1001" s="189">
        <f t="shared" si="162"/>
        <v>991.43643947151531</v>
      </c>
      <c r="V1001" s="170">
        <f t="shared" si="163"/>
        <v>118.95352281525516</v>
      </c>
      <c r="W1001" s="170"/>
      <c r="X1001" s="170"/>
      <c r="Y1001" s="173">
        <f t="shared" si="164"/>
        <v>991.43643947151531</v>
      </c>
      <c r="AA1001" s="173">
        <f t="shared" si="159"/>
        <v>760.2</v>
      </c>
      <c r="AH1001" s="173" t="e">
        <f t="shared" si="160"/>
        <v>#N/A</v>
      </c>
      <c r="AS1001" s="173" t="e">
        <f t="shared" si="161"/>
        <v>#N/A</v>
      </c>
    </row>
    <row r="1002" spans="1:45" s="173" customFormat="1" ht="36" customHeight="1" x14ac:dyDescent="0.9">
      <c r="A1002" s="173">
        <v>1</v>
      </c>
      <c r="B1002" s="91">
        <f>SUBTOTAL(103,$A$957:A1002)</f>
        <v>46</v>
      </c>
      <c r="C1002" s="90" t="s">
        <v>1409</v>
      </c>
      <c r="D1002" s="185">
        <v>1976</v>
      </c>
      <c r="E1002" s="185"/>
      <c r="F1002" s="191" t="s">
        <v>273</v>
      </c>
      <c r="G1002" s="185">
        <v>5</v>
      </c>
      <c r="H1002" s="185">
        <v>10</v>
      </c>
      <c r="I1002" s="186">
        <v>8213.9</v>
      </c>
      <c r="J1002" s="186">
        <v>7350.9</v>
      </c>
      <c r="K1002" s="186">
        <v>6661.1</v>
      </c>
      <c r="L1002" s="187">
        <v>418</v>
      </c>
      <c r="M1002" s="185" t="s">
        <v>271</v>
      </c>
      <c r="N1002" s="185" t="s">
        <v>275</v>
      </c>
      <c r="O1002" s="188" t="s">
        <v>1426</v>
      </c>
      <c r="P1002" s="189">
        <v>7840331.7599999998</v>
      </c>
      <c r="Q1002" s="189">
        <v>0</v>
      </c>
      <c r="R1002" s="189">
        <v>0</v>
      </c>
      <c r="S1002" s="189">
        <f t="shared" si="155"/>
        <v>7840331.7599999998</v>
      </c>
      <c r="T1002" s="189">
        <f t="shared" si="157"/>
        <v>954.51999172135038</v>
      </c>
      <c r="U1002" s="189">
        <f t="shared" si="162"/>
        <v>1471.0728399420495</v>
      </c>
      <c r="V1002" s="170">
        <f t="shared" si="163"/>
        <v>516.55284822069916</v>
      </c>
      <c r="W1002" s="170"/>
      <c r="X1002" s="170"/>
      <c r="Y1002" s="173">
        <f t="shared" si="164"/>
        <v>1471.0728399420495</v>
      </c>
      <c r="AA1002" s="173">
        <f t="shared" si="159"/>
        <v>2314</v>
      </c>
      <c r="AH1002" s="173" t="e">
        <f t="shared" si="160"/>
        <v>#N/A</v>
      </c>
      <c r="AS1002" s="173" t="e">
        <f t="shared" si="161"/>
        <v>#N/A</v>
      </c>
    </row>
    <row r="1003" spans="1:45" s="173" customFormat="1" ht="36" customHeight="1" x14ac:dyDescent="0.9">
      <c r="A1003" s="173">
        <v>1</v>
      </c>
      <c r="B1003" s="91">
        <f>SUBTOTAL(103,$A$957:A1003)</f>
        <v>47</v>
      </c>
      <c r="C1003" s="90" t="s">
        <v>1681</v>
      </c>
      <c r="D1003" s="185">
        <v>1970</v>
      </c>
      <c r="E1003" s="185"/>
      <c r="F1003" s="191" t="s">
        <v>273</v>
      </c>
      <c r="G1003" s="185">
        <v>5</v>
      </c>
      <c r="H1003" s="185">
        <v>6</v>
      </c>
      <c r="I1003" s="186">
        <v>4831</v>
      </c>
      <c r="J1003" s="186">
        <v>4434.8999999999996</v>
      </c>
      <c r="K1003" s="186">
        <v>4190</v>
      </c>
      <c r="L1003" s="187">
        <v>250</v>
      </c>
      <c r="M1003" s="185" t="s">
        <v>271</v>
      </c>
      <c r="N1003" s="185" t="s">
        <v>275</v>
      </c>
      <c r="O1003" s="188" t="s">
        <v>1116</v>
      </c>
      <c r="P1003" s="189">
        <v>5836250</v>
      </c>
      <c r="Q1003" s="189">
        <v>0</v>
      </c>
      <c r="R1003" s="189">
        <v>0</v>
      </c>
      <c r="S1003" s="189">
        <f t="shared" si="155"/>
        <v>5836250</v>
      </c>
      <c r="T1003" s="189">
        <f t="shared" si="157"/>
        <v>1208.083212585386</v>
      </c>
      <c r="U1003" s="189">
        <f t="shared" si="162"/>
        <v>1292.7494928586214</v>
      </c>
      <c r="V1003" s="170">
        <f t="shared" si="163"/>
        <v>84.666280273235316</v>
      </c>
      <c r="W1003" s="170"/>
      <c r="X1003" s="170"/>
      <c r="Y1003" s="173">
        <f t="shared" si="164"/>
        <v>1292.7494928586214</v>
      </c>
      <c r="AA1003" s="173">
        <f t="shared" si="159"/>
        <v>1196</v>
      </c>
      <c r="AH1003" s="173" t="e">
        <f t="shared" si="160"/>
        <v>#N/A</v>
      </c>
      <c r="AS1003" s="173" t="e">
        <f t="shared" si="161"/>
        <v>#N/A</v>
      </c>
    </row>
    <row r="1004" spans="1:45" s="173" customFormat="1" ht="36" customHeight="1" x14ac:dyDescent="0.9">
      <c r="A1004" s="173">
        <v>1</v>
      </c>
      <c r="B1004" s="91">
        <f>SUBTOTAL(103,$A$957:A1004)</f>
        <v>48</v>
      </c>
      <c r="C1004" s="90" t="s">
        <v>1682</v>
      </c>
      <c r="D1004" s="185">
        <v>1988</v>
      </c>
      <c r="E1004" s="185"/>
      <c r="F1004" s="191" t="s">
        <v>319</v>
      </c>
      <c r="G1004" s="185">
        <v>5</v>
      </c>
      <c r="H1004" s="185">
        <v>3</v>
      </c>
      <c r="I1004" s="186">
        <v>2616.5</v>
      </c>
      <c r="J1004" s="186">
        <v>2318.1999999999998</v>
      </c>
      <c r="K1004" s="186">
        <v>2212.9</v>
      </c>
      <c r="L1004" s="187">
        <v>110</v>
      </c>
      <c r="M1004" s="185" t="s">
        <v>271</v>
      </c>
      <c r="N1004" s="185" t="s">
        <v>275</v>
      </c>
      <c r="O1004" s="188" t="s">
        <v>1116</v>
      </c>
      <c r="P1004" s="189">
        <v>2840502.02</v>
      </c>
      <c r="Q1004" s="189">
        <v>0</v>
      </c>
      <c r="R1004" s="189">
        <v>0</v>
      </c>
      <c r="S1004" s="189">
        <f t="shared" si="155"/>
        <v>2840502.02</v>
      </c>
      <c r="T1004" s="189">
        <f t="shared" si="157"/>
        <v>1085.6113204662718</v>
      </c>
      <c r="U1004" s="189">
        <f t="shared" si="162"/>
        <v>1171.4873304032105</v>
      </c>
      <c r="V1004" s="170">
        <f t="shared" si="163"/>
        <v>85.876009936938772</v>
      </c>
      <c r="W1004" s="170"/>
      <c r="X1004" s="170"/>
      <c r="Y1004" s="173">
        <f t="shared" si="164"/>
        <v>1171.4873304032105</v>
      </c>
      <c r="AA1004" s="173">
        <f t="shared" si="159"/>
        <v>587</v>
      </c>
      <c r="AH1004" s="173" t="e">
        <f t="shared" si="160"/>
        <v>#N/A</v>
      </c>
      <c r="AS1004" s="173" t="e">
        <f t="shared" si="161"/>
        <v>#N/A</v>
      </c>
    </row>
    <row r="1005" spans="1:45" s="173" customFormat="1" ht="36" customHeight="1" x14ac:dyDescent="0.9">
      <c r="A1005" s="173">
        <v>1</v>
      </c>
      <c r="B1005" s="91">
        <f>SUBTOTAL(103,$A$957:A1005)</f>
        <v>49</v>
      </c>
      <c r="C1005" s="90" t="s">
        <v>622</v>
      </c>
      <c r="D1005" s="185" t="s">
        <v>331</v>
      </c>
      <c r="E1005" s="185"/>
      <c r="F1005" s="191" t="s">
        <v>319</v>
      </c>
      <c r="G1005" s="185" t="s">
        <v>360</v>
      </c>
      <c r="H1005" s="185">
        <v>4</v>
      </c>
      <c r="I1005" s="186">
        <v>4258.1000000000004</v>
      </c>
      <c r="J1005" s="186">
        <v>3136.3</v>
      </c>
      <c r="K1005" s="186">
        <v>1795.5</v>
      </c>
      <c r="L1005" s="187">
        <v>159</v>
      </c>
      <c r="M1005" s="185" t="s">
        <v>271</v>
      </c>
      <c r="N1005" s="185" t="s">
        <v>275</v>
      </c>
      <c r="O1005" s="188" t="s">
        <v>1102</v>
      </c>
      <c r="P1005" s="189">
        <v>4404985.5199999996</v>
      </c>
      <c r="Q1005" s="189">
        <v>0</v>
      </c>
      <c r="R1005" s="189">
        <v>0</v>
      </c>
      <c r="S1005" s="189">
        <f t="shared" si="155"/>
        <v>4404985.5199999996</v>
      </c>
      <c r="T1005" s="189">
        <f t="shared" si="157"/>
        <v>1034.4955543552287</v>
      </c>
      <c r="U1005" s="189">
        <f t="shared" si="162"/>
        <v>1167.4581620910735</v>
      </c>
      <c r="V1005" s="170">
        <f t="shared" si="163"/>
        <v>132.96260773584481</v>
      </c>
      <c r="W1005" s="170"/>
      <c r="X1005" s="170"/>
      <c r="Y1005" s="173">
        <f t="shared" si="164"/>
        <v>1167.4581620910735</v>
      </c>
      <c r="AA1005" s="173">
        <f t="shared" si="159"/>
        <v>952</v>
      </c>
      <c r="AH1005" s="173" t="e">
        <f t="shared" si="160"/>
        <v>#N/A</v>
      </c>
      <c r="AS1005" s="173" t="e">
        <f t="shared" si="161"/>
        <v>#N/A</v>
      </c>
    </row>
    <row r="1006" spans="1:45" s="173" customFormat="1" ht="36" customHeight="1" x14ac:dyDescent="0.9">
      <c r="A1006" s="173">
        <v>1</v>
      </c>
      <c r="B1006" s="91">
        <f>SUBTOTAL(103,$A$957:A1006)</f>
        <v>50</v>
      </c>
      <c r="C1006" s="90" t="s">
        <v>1664</v>
      </c>
      <c r="D1006" s="185">
        <v>1957</v>
      </c>
      <c r="E1006" s="185"/>
      <c r="F1006" s="191" t="s">
        <v>273</v>
      </c>
      <c r="G1006" s="185">
        <v>3</v>
      </c>
      <c r="H1006" s="185">
        <v>3</v>
      </c>
      <c r="I1006" s="186">
        <v>1920.4</v>
      </c>
      <c r="J1006" s="186">
        <v>1467.6</v>
      </c>
      <c r="K1006" s="186">
        <v>1467.6</v>
      </c>
      <c r="L1006" s="187">
        <v>62</v>
      </c>
      <c r="M1006" s="185" t="s">
        <v>271</v>
      </c>
      <c r="N1006" s="185" t="s">
        <v>275</v>
      </c>
      <c r="O1006" s="188" t="s">
        <v>1637</v>
      </c>
      <c r="P1006" s="189">
        <v>7371186.2199999997</v>
      </c>
      <c r="Q1006" s="189">
        <v>0</v>
      </c>
      <c r="R1006" s="189">
        <v>0</v>
      </c>
      <c r="S1006" s="189">
        <f t="shared" si="155"/>
        <v>7371186.2199999997</v>
      </c>
      <c r="T1006" s="189">
        <f t="shared" si="157"/>
        <v>3838.3598312851486</v>
      </c>
      <c r="U1006" s="189">
        <f t="shared" si="162"/>
        <v>4423.4660695688399</v>
      </c>
      <c r="V1006" s="170">
        <f t="shared" si="163"/>
        <v>585.10623828369125</v>
      </c>
      <c r="W1006" s="170"/>
      <c r="X1006" s="170"/>
      <c r="Y1006" s="173">
        <f t="shared" si="164"/>
        <v>4423.4660695688399</v>
      </c>
      <c r="AA1006" s="173">
        <f t="shared" si="159"/>
        <v>1626.8</v>
      </c>
      <c r="AH1006" s="173" t="e">
        <f t="shared" si="160"/>
        <v>#N/A</v>
      </c>
      <c r="AS1006" s="173" t="e">
        <f t="shared" si="161"/>
        <v>#N/A</v>
      </c>
    </row>
    <row r="1007" spans="1:45" s="173" customFormat="1" ht="36" customHeight="1" x14ac:dyDescent="0.9">
      <c r="A1007" s="173">
        <v>1</v>
      </c>
      <c r="B1007" s="91">
        <f>SUBTOTAL(103,$A$957:A1007)</f>
        <v>51</v>
      </c>
      <c r="C1007" s="90" t="s">
        <v>623</v>
      </c>
      <c r="D1007" s="185">
        <v>1981</v>
      </c>
      <c r="E1007" s="185"/>
      <c r="F1007" s="191" t="s">
        <v>273</v>
      </c>
      <c r="G1007" s="185">
        <v>2</v>
      </c>
      <c r="H1007" s="185">
        <v>3</v>
      </c>
      <c r="I1007" s="186">
        <v>940.2</v>
      </c>
      <c r="J1007" s="186">
        <v>850.3</v>
      </c>
      <c r="K1007" s="186">
        <v>850.3</v>
      </c>
      <c r="L1007" s="187">
        <v>29</v>
      </c>
      <c r="M1007" s="185" t="s">
        <v>271</v>
      </c>
      <c r="N1007" s="185" t="s">
        <v>275</v>
      </c>
      <c r="O1007" s="188" t="s">
        <v>1683</v>
      </c>
      <c r="P1007" s="189">
        <v>3550462.6100000003</v>
      </c>
      <c r="Q1007" s="189">
        <v>0</v>
      </c>
      <c r="R1007" s="189">
        <v>0</v>
      </c>
      <c r="S1007" s="189">
        <f t="shared" si="155"/>
        <v>3550462.6100000003</v>
      </c>
      <c r="T1007" s="189">
        <f t="shared" si="157"/>
        <v>3776.284418208892</v>
      </c>
      <c r="U1007" s="189">
        <f t="shared" si="162"/>
        <v>4482.0727696234844</v>
      </c>
      <c r="V1007" s="170">
        <f t="shared" si="163"/>
        <v>705.7883514145924</v>
      </c>
      <c r="W1007" s="170"/>
      <c r="X1007" s="170"/>
      <c r="Y1007" s="173">
        <f t="shared" si="164"/>
        <v>4482.0727696234844</v>
      </c>
      <c r="AA1007" s="173">
        <f t="shared" si="159"/>
        <v>807.01</v>
      </c>
      <c r="AH1007" s="173" t="e">
        <f t="shared" si="160"/>
        <v>#N/A</v>
      </c>
      <c r="AS1007" s="173" t="e">
        <f t="shared" si="161"/>
        <v>#N/A</v>
      </c>
    </row>
    <row r="1008" spans="1:45" s="173" customFormat="1" ht="36" customHeight="1" x14ac:dyDescent="0.9">
      <c r="A1008" s="173">
        <v>1</v>
      </c>
      <c r="B1008" s="91">
        <f>SUBTOTAL(103,$A$957:A1008)</f>
        <v>52</v>
      </c>
      <c r="C1008" s="90" t="s">
        <v>624</v>
      </c>
      <c r="D1008" s="185">
        <v>1994</v>
      </c>
      <c r="E1008" s="185"/>
      <c r="F1008" s="191" t="s">
        <v>273</v>
      </c>
      <c r="G1008" s="185">
        <v>3</v>
      </c>
      <c r="H1008" s="185">
        <v>2</v>
      </c>
      <c r="I1008" s="186">
        <v>1481.9</v>
      </c>
      <c r="J1008" s="186">
        <v>1353.2</v>
      </c>
      <c r="K1008" s="186">
        <v>1353.2</v>
      </c>
      <c r="L1008" s="187">
        <v>72</v>
      </c>
      <c r="M1008" s="185" t="s">
        <v>271</v>
      </c>
      <c r="N1008" s="185" t="s">
        <v>275</v>
      </c>
      <c r="O1008" s="188" t="s">
        <v>1683</v>
      </c>
      <c r="P1008" s="189">
        <v>4265711.66</v>
      </c>
      <c r="Q1008" s="189">
        <v>0</v>
      </c>
      <c r="R1008" s="189">
        <v>0</v>
      </c>
      <c r="S1008" s="189">
        <f t="shared" si="155"/>
        <v>4265711.66</v>
      </c>
      <c r="T1008" s="189">
        <f t="shared" si="157"/>
        <v>2878.5421823334909</v>
      </c>
      <c r="U1008" s="189">
        <f t="shared" si="162"/>
        <v>3435.6265604966593</v>
      </c>
      <c r="V1008" s="170">
        <f t="shared" si="163"/>
        <v>557.08437816316837</v>
      </c>
      <c r="W1008" s="170"/>
      <c r="X1008" s="170"/>
      <c r="Y1008" s="173">
        <f t="shared" si="164"/>
        <v>3435.6265604966593</v>
      </c>
      <c r="AA1008" s="173">
        <f t="shared" si="159"/>
        <v>975</v>
      </c>
      <c r="AH1008" s="173" t="e">
        <f t="shared" si="160"/>
        <v>#N/A</v>
      </c>
      <c r="AS1008" s="173" t="e">
        <f t="shared" si="161"/>
        <v>#N/A</v>
      </c>
    </row>
    <row r="1009" spans="1:45" s="173" customFormat="1" ht="36" customHeight="1" x14ac:dyDescent="0.9">
      <c r="A1009" s="173">
        <v>1</v>
      </c>
      <c r="B1009" s="91">
        <f>SUBTOTAL(103,$A$957:A1009)</f>
        <v>53</v>
      </c>
      <c r="C1009" s="90" t="s">
        <v>625</v>
      </c>
      <c r="D1009" s="185" t="s">
        <v>359</v>
      </c>
      <c r="E1009" s="185"/>
      <c r="F1009" s="191" t="s">
        <v>319</v>
      </c>
      <c r="G1009" s="185" t="s">
        <v>360</v>
      </c>
      <c r="H1009" s="185">
        <v>4</v>
      </c>
      <c r="I1009" s="186">
        <v>4064.4</v>
      </c>
      <c r="J1009" s="186">
        <v>3058.6</v>
      </c>
      <c r="K1009" s="186">
        <v>2912</v>
      </c>
      <c r="L1009" s="187">
        <v>130</v>
      </c>
      <c r="M1009" s="185" t="s">
        <v>271</v>
      </c>
      <c r="N1009" s="185" t="s">
        <v>275</v>
      </c>
      <c r="O1009" s="188" t="s">
        <v>1349</v>
      </c>
      <c r="P1009" s="189">
        <v>3545858.66</v>
      </c>
      <c r="Q1009" s="189">
        <v>0</v>
      </c>
      <c r="R1009" s="189">
        <v>0</v>
      </c>
      <c r="S1009" s="189">
        <f t="shared" si="155"/>
        <v>3545858.66</v>
      </c>
      <c r="T1009" s="189">
        <f t="shared" si="157"/>
        <v>872.4187235508316</v>
      </c>
      <c r="U1009" s="189">
        <f t="shared" si="162"/>
        <v>990.87522143489809</v>
      </c>
      <c r="V1009" s="170">
        <f t="shared" si="163"/>
        <v>118.45649788406649</v>
      </c>
      <c r="W1009" s="170"/>
      <c r="X1009" s="170"/>
      <c r="Y1009" s="173">
        <f t="shared" si="164"/>
        <v>990.87522143489809</v>
      </c>
      <c r="AA1009" s="173">
        <f t="shared" si="159"/>
        <v>771.25</v>
      </c>
      <c r="AH1009" s="173" t="e">
        <f t="shared" si="160"/>
        <v>#N/A</v>
      </c>
      <c r="AS1009" s="173" t="e">
        <f t="shared" si="161"/>
        <v>#N/A</v>
      </c>
    </row>
    <row r="1010" spans="1:45" s="173" customFormat="1" ht="36" customHeight="1" x14ac:dyDescent="0.9">
      <c r="A1010" s="173">
        <v>1</v>
      </c>
      <c r="B1010" s="91">
        <f>SUBTOTAL(103,$A$957:A1010)</f>
        <v>54</v>
      </c>
      <c r="C1010" s="90" t="s">
        <v>626</v>
      </c>
      <c r="D1010" s="185" t="s">
        <v>379</v>
      </c>
      <c r="E1010" s="185"/>
      <c r="F1010" s="191" t="s">
        <v>319</v>
      </c>
      <c r="G1010" s="185" t="s">
        <v>360</v>
      </c>
      <c r="H1010" s="185">
        <v>5</v>
      </c>
      <c r="I1010" s="186">
        <v>5067.1000000000004</v>
      </c>
      <c r="J1010" s="186">
        <v>3815.6</v>
      </c>
      <c r="K1010" s="186">
        <v>3768.9</v>
      </c>
      <c r="L1010" s="187">
        <v>158</v>
      </c>
      <c r="M1010" s="185" t="s">
        <v>271</v>
      </c>
      <c r="N1010" s="185" t="s">
        <v>275</v>
      </c>
      <c r="O1010" s="188" t="s">
        <v>1349</v>
      </c>
      <c r="P1010" s="189">
        <v>4460834.87</v>
      </c>
      <c r="Q1010" s="189">
        <v>0</v>
      </c>
      <c r="R1010" s="189">
        <v>0</v>
      </c>
      <c r="S1010" s="189">
        <f t="shared" si="155"/>
        <v>4460834.87</v>
      </c>
      <c r="T1010" s="189">
        <f t="shared" si="157"/>
        <v>880.35264155039363</v>
      </c>
      <c r="U1010" s="189">
        <f t="shared" si="162"/>
        <v>993.17356081387766</v>
      </c>
      <c r="V1010" s="170">
        <f t="shared" si="163"/>
        <v>112.82091926348403</v>
      </c>
      <c r="W1010" s="170"/>
      <c r="X1010" s="170"/>
      <c r="Y1010" s="173">
        <f t="shared" si="164"/>
        <v>993.17356081387766</v>
      </c>
      <c r="AA1010" s="173">
        <f t="shared" si="159"/>
        <v>963.75</v>
      </c>
      <c r="AH1010" s="173" t="e">
        <f t="shared" si="160"/>
        <v>#N/A</v>
      </c>
      <c r="AS1010" s="173" t="e">
        <f t="shared" si="161"/>
        <v>#N/A</v>
      </c>
    </row>
    <row r="1011" spans="1:45" s="173" customFormat="1" ht="36" customHeight="1" x14ac:dyDescent="0.9">
      <c r="A1011" s="173">
        <v>1</v>
      </c>
      <c r="B1011" s="91">
        <f>SUBTOTAL(103,$A$957:A1011)</f>
        <v>55</v>
      </c>
      <c r="C1011" s="90" t="s">
        <v>507</v>
      </c>
      <c r="D1011" s="185">
        <v>1995</v>
      </c>
      <c r="E1011" s="185"/>
      <c r="F1011" s="191" t="s">
        <v>273</v>
      </c>
      <c r="G1011" s="185">
        <v>9</v>
      </c>
      <c r="H1011" s="185">
        <v>1</v>
      </c>
      <c r="I1011" s="186">
        <v>6176.6</v>
      </c>
      <c r="J1011" s="186">
        <v>4705.1000000000004</v>
      </c>
      <c r="K1011" s="186">
        <v>4301.8999999999996</v>
      </c>
      <c r="L1011" s="187">
        <v>360</v>
      </c>
      <c r="M1011" s="185" t="s">
        <v>271</v>
      </c>
      <c r="N1011" s="185" t="s">
        <v>275</v>
      </c>
      <c r="O1011" s="188" t="s">
        <v>1100</v>
      </c>
      <c r="P1011" s="189">
        <v>2100000</v>
      </c>
      <c r="Q1011" s="189">
        <v>0</v>
      </c>
      <c r="R1011" s="189">
        <v>0</v>
      </c>
      <c r="S1011" s="189">
        <f t="shared" si="155"/>
        <v>2100000</v>
      </c>
      <c r="T1011" s="189">
        <f t="shared" si="157"/>
        <v>339.99287633973381</v>
      </c>
      <c r="U1011" s="189">
        <f>AR1011</f>
        <v>357.38318816177184</v>
      </c>
      <c r="V1011" s="170">
        <f t="shared" si="163"/>
        <v>17.390311822038029</v>
      </c>
      <c r="W1011" s="170"/>
      <c r="X1011" s="170"/>
      <c r="Y1011" s="173">
        <f t="shared" si="164"/>
        <v>862.32490366868501</v>
      </c>
      <c r="AA1011" s="173">
        <f t="shared" si="159"/>
        <v>1020</v>
      </c>
      <c r="AH1011" s="173" t="e">
        <f t="shared" si="160"/>
        <v>#N/A</v>
      </c>
      <c r="AR1011" s="173">
        <f>AS1011*2207413/I1011</f>
        <v>357.38318816177184</v>
      </c>
      <c r="AS1011" s="173">
        <f t="shared" si="161"/>
        <v>1</v>
      </c>
    </row>
    <row r="1012" spans="1:45" s="173" customFormat="1" ht="36" customHeight="1" x14ac:dyDescent="0.9">
      <c r="A1012" s="173">
        <v>1</v>
      </c>
      <c r="B1012" s="91">
        <f>SUBTOTAL(103,$A$957:A1012)</f>
        <v>56</v>
      </c>
      <c r="C1012" s="90" t="s">
        <v>1095</v>
      </c>
      <c r="D1012" s="185">
        <v>1990</v>
      </c>
      <c r="E1012" s="185"/>
      <c r="F1012" s="191" t="s">
        <v>273</v>
      </c>
      <c r="G1012" s="185">
        <v>9</v>
      </c>
      <c r="H1012" s="185">
        <v>4</v>
      </c>
      <c r="I1012" s="186">
        <v>11085.8</v>
      </c>
      <c r="J1012" s="186">
        <v>9319.2999999999993</v>
      </c>
      <c r="K1012" s="186">
        <v>5667.8</v>
      </c>
      <c r="L1012" s="187">
        <v>446</v>
      </c>
      <c r="M1012" s="185" t="s">
        <v>271</v>
      </c>
      <c r="N1012" s="185" t="s">
        <v>275</v>
      </c>
      <c r="O1012" s="188" t="s">
        <v>1102</v>
      </c>
      <c r="P1012" s="189">
        <v>6300000</v>
      </c>
      <c r="Q1012" s="189">
        <v>0</v>
      </c>
      <c r="R1012" s="189">
        <v>0</v>
      </c>
      <c r="S1012" s="189">
        <f t="shared" si="155"/>
        <v>6300000</v>
      </c>
      <c r="T1012" s="189">
        <f t="shared" si="157"/>
        <v>568.29457504194556</v>
      </c>
      <c r="U1012" s="189">
        <f>T1012</f>
        <v>568.29457504194556</v>
      </c>
      <c r="V1012" s="170">
        <f t="shared" si="163"/>
        <v>0</v>
      </c>
      <c r="W1012" s="170"/>
      <c r="X1012" s="170"/>
      <c r="Y1012" s="173" t="e">
        <f t="shared" si="164"/>
        <v>#N/A</v>
      </c>
      <c r="AA1012" s="173" t="e">
        <f t="shared" si="159"/>
        <v>#N/A</v>
      </c>
      <c r="AH1012" s="173" t="e">
        <f t="shared" si="160"/>
        <v>#N/A</v>
      </c>
      <c r="AR1012" s="173">
        <f>AS1012*2207413/I1012</f>
        <v>597.36230132241246</v>
      </c>
      <c r="AS1012" s="173">
        <f t="shared" si="161"/>
        <v>3</v>
      </c>
    </row>
    <row r="1013" spans="1:45" s="173" customFormat="1" ht="36" customHeight="1" x14ac:dyDescent="0.9">
      <c r="A1013" s="173">
        <v>1</v>
      </c>
      <c r="B1013" s="91">
        <f>SUBTOTAL(103,$A$957:A1013)</f>
        <v>57</v>
      </c>
      <c r="C1013" s="90" t="s">
        <v>1734</v>
      </c>
      <c r="D1013" s="185">
        <v>1969</v>
      </c>
      <c r="E1013" s="185"/>
      <c r="F1013" s="191" t="s">
        <v>273</v>
      </c>
      <c r="G1013" s="185">
        <v>5</v>
      </c>
      <c r="H1013" s="185">
        <v>4</v>
      </c>
      <c r="I1013" s="186">
        <v>3872</v>
      </c>
      <c r="J1013" s="186">
        <v>3567.4</v>
      </c>
      <c r="K1013" s="186">
        <v>3567.4</v>
      </c>
      <c r="L1013" s="187">
        <v>111</v>
      </c>
      <c r="M1013" s="185" t="s">
        <v>271</v>
      </c>
      <c r="N1013" s="185" t="s">
        <v>275</v>
      </c>
      <c r="O1013" s="188" t="s">
        <v>1740</v>
      </c>
      <c r="P1013" s="189">
        <v>5062636.5</v>
      </c>
      <c r="Q1013" s="189">
        <v>0</v>
      </c>
      <c r="R1013" s="189">
        <v>0</v>
      </c>
      <c r="S1013" s="189">
        <f t="shared" si="155"/>
        <v>5062636.5</v>
      </c>
      <c r="T1013" s="189">
        <f t="shared" si="157"/>
        <v>1307.4990960743801</v>
      </c>
      <c r="U1013" s="189">
        <v>1664.1790289256198</v>
      </c>
      <c r="V1013" s="170">
        <f t="shared" si="163"/>
        <v>356.67993285123976</v>
      </c>
      <c r="W1013" s="170"/>
      <c r="X1013" s="170"/>
      <c r="Y1013" s="173" t="e">
        <f t="shared" si="164"/>
        <v>#N/A</v>
      </c>
      <c r="AA1013" s="173" t="e">
        <f t="shared" si="159"/>
        <v>#N/A</v>
      </c>
      <c r="AH1013" s="173" t="e">
        <f t="shared" si="160"/>
        <v>#N/A</v>
      </c>
      <c r="AR1013" s="173" t="e">
        <f>AS1013*2207413/I1013</f>
        <v>#N/A</v>
      </c>
      <c r="AS1013" s="173" t="e">
        <f t="shared" si="161"/>
        <v>#N/A</v>
      </c>
    </row>
    <row r="1014" spans="1:45" s="173" customFormat="1" ht="36" customHeight="1" x14ac:dyDescent="0.9">
      <c r="A1014" s="173">
        <v>1</v>
      </c>
      <c r="B1014" s="91">
        <f>SUBTOTAL(103,$A$957:A1014)</f>
        <v>58</v>
      </c>
      <c r="C1014" s="90" t="s">
        <v>1735</v>
      </c>
      <c r="D1014" s="185">
        <v>1967</v>
      </c>
      <c r="E1014" s="185"/>
      <c r="F1014" s="191" t="s">
        <v>326</v>
      </c>
      <c r="G1014" s="185">
        <v>5</v>
      </c>
      <c r="H1014" s="185">
        <v>5</v>
      </c>
      <c r="I1014" s="186">
        <v>4508.5</v>
      </c>
      <c r="J1014" s="186">
        <v>4509.3</v>
      </c>
      <c r="K1014" s="186">
        <v>4452.8</v>
      </c>
      <c r="L1014" s="187">
        <v>231</v>
      </c>
      <c r="M1014" s="185" t="s">
        <v>271</v>
      </c>
      <c r="N1014" s="185" t="s">
        <v>275</v>
      </c>
      <c r="O1014" s="188" t="s">
        <v>1741</v>
      </c>
      <c r="P1014" s="189">
        <v>4800259.8</v>
      </c>
      <c r="Q1014" s="189">
        <v>0</v>
      </c>
      <c r="R1014" s="189">
        <v>0</v>
      </c>
      <c r="S1014" s="189">
        <f t="shared" si="155"/>
        <v>4800259.8</v>
      </c>
      <c r="T1014" s="189">
        <f t="shared" si="157"/>
        <v>1064.7132749251414</v>
      </c>
      <c r="U1014" s="189">
        <f>T1014</f>
        <v>1064.7132749251414</v>
      </c>
      <c r="V1014" s="170">
        <f t="shared" si="163"/>
        <v>0</v>
      </c>
      <c r="W1014" s="170"/>
      <c r="X1014" s="170"/>
      <c r="Y1014" s="173" t="e">
        <f t="shared" si="164"/>
        <v>#N/A</v>
      </c>
      <c r="AA1014" s="173" t="e">
        <f t="shared" si="159"/>
        <v>#N/A</v>
      </c>
      <c r="AH1014" s="173" t="e">
        <f t="shared" si="160"/>
        <v>#N/A</v>
      </c>
      <c r="AR1014" s="173" t="e">
        <f>AS1014*2207413/I1014</f>
        <v>#N/A</v>
      </c>
      <c r="AS1014" s="173" t="e">
        <f t="shared" si="161"/>
        <v>#N/A</v>
      </c>
    </row>
    <row r="1015" spans="1:45" s="173" customFormat="1" ht="36" customHeight="1" x14ac:dyDescent="0.9">
      <c r="B1015" s="90" t="s">
        <v>781</v>
      </c>
      <c r="C1015" s="192"/>
      <c r="D1015" s="185" t="s">
        <v>915</v>
      </c>
      <c r="E1015" s="185" t="s">
        <v>915</v>
      </c>
      <c r="F1015" s="185" t="s">
        <v>915</v>
      </c>
      <c r="G1015" s="185" t="s">
        <v>915</v>
      </c>
      <c r="H1015" s="185" t="s">
        <v>915</v>
      </c>
      <c r="I1015" s="186">
        <f>SUM(I1016:I1029)</f>
        <v>14993.8</v>
      </c>
      <c r="J1015" s="186">
        <f>SUM(J1016:J1029)</f>
        <v>14020.6</v>
      </c>
      <c r="K1015" s="186">
        <f>SUM(K1016:K1029)</f>
        <v>12867.5</v>
      </c>
      <c r="L1015" s="187">
        <f>SUM(L1016:L1029)</f>
        <v>772</v>
      </c>
      <c r="M1015" s="185" t="s">
        <v>915</v>
      </c>
      <c r="N1015" s="185" t="s">
        <v>915</v>
      </c>
      <c r="O1015" s="188" t="s">
        <v>915</v>
      </c>
      <c r="P1015" s="186">
        <v>44764760.649999999</v>
      </c>
      <c r="Q1015" s="186">
        <f>SUM(Q1016:Q1029)</f>
        <v>0</v>
      </c>
      <c r="R1015" s="186">
        <f>SUM(R1016:R1029)</f>
        <v>0</v>
      </c>
      <c r="S1015" s="186">
        <f>SUM(S1016:S1029)</f>
        <v>44764760.649999999</v>
      </c>
      <c r="T1015" s="189">
        <f t="shared" si="157"/>
        <v>2985.5514045805598</v>
      </c>
      <c r="U1015" s="189">
        <f>MAX(U1016:U1029)</f>
        <v>7375.5768730650161</v>
      </c>
      <c r="V1015" s="170">
        <f t="shared" si="163"/>
        <v>4390.0254684844567</v>
      </c>
      <c r="W1015" s="170"/>
      <c r="X1015" s="170"/>
      <c r="Y1015" s="173" t="e">
        <f t="shared" si="164"/>
        <v>#N/A</v>
      </c>
      <c r="AA1015" s="173" t="e">
        <f t="shared" si="159"/>
        <v>#N/A</v>
      </c>
      <c r="AH1015" s="173" t="e">
        <f t="shared" si="160"/>
        <v>#N/A</v>
      </c>
      <c r="AS1015" s="173" t="e">
        <f t="shared" si="161"/>
        <v>#N/A</v>
      </c>
    </row>
    <row r="1016" spans="1:45" s="173" customFormat="1" ht="36" customHeight="1" x14ac:dyDescent="0.9">
      <c r="A1016" s="173">
        <v>1</v>
      </c>
      <c r="B1016" s="91">
        <f>SUBTOTAL(103,$A$957:A1016)</f>
        <v>59</v>
      </c>
      <c r="C1016" s="90" t="s">
        <v>477</v>
      </c>
      <c r="D1016" s="185">
        <v>1962</v>
      </c>
      <c r="E1016" s="185"/>
      <c r="F1016" s="191" t="s">
        <v>273</v>
      </c>
      <c r="G1016" s="185">
        <v>2</v>
      </c>
      <c r="H1016" s="185">
        <v>2</v>
      </c>
      <c r="I1016" s="186">
        <v>835.9</v>
      </c>
      <c r="J1016" s="186">
        <v>784.2</v>
      </c>
      <c r="K1016" s="186">
        <v>715.8</v>
      </c>
      <c r="L1016" s="187">
        <v>47</v>
      </c>
      <c r="M1016" s="185" t="s">
        <v>271</v>
      </c>
      <c r="N1016" s="185" t="s">
        <v>272</v>
      </c>
      <c r="O1016" s="188" t="s">
        <v>274</v>
      </c>
      <c r="P1016" s="189">
        <v>3951259.39</v>
      </c>
      <c r="Q1016" s="189">
        <v>0</v>
      </c>
      <c r="R1016" s="189">
        <v>0</v>
      </c>
      <c r="S1016" s="189">
        <f t="shared" ref="S1016:S1028" si="165">P1016-Q1016-R1016</f>
        <v>3951259.39</v>
      </c>
      <c r="T1016" s="189">
        <f t="shared" si="157"/>
        <v>4726.9522550544325</v>
      </c>
      <c r="U1016" s="189">
        <f>T1016</f>
        <v>4726.9522550544325</v>
      </c>
      <c r="V1016" s="170">
        <f t="shared" si="163"/>
        <v>0</v>
      </c>
      <c r="W1016" s="170"/>
      <c r="X1016" s="170"/>
      <c r="Y1016" s="173">
        <f t="shared" si="164"/>
        <v>4050.5025960043072</v>
      </c>
      <c r="AA1016" s="173">
        <f t="shared" si="159"/>
        <v>648.4</v>
      </c>
      <c r="AH1016" s="173" t="e">
        <f t="shared" si="160"/>
        <v>#N/A</v>
      </c>
      <c r="AS1016" s="173" t="e">
        <f t="shared" si="161"/>
        <v>#N/A</v>
      </c>
    </row>
    <row r="1017" spans="1:45" s="173" customFormat="1" ht="36" customHeight="1" x14ac:dyDescent="0.9">
      <c r="A1017" s="173">
        <v>1</v>
      </c>
      <c r="B1017" s="91">
        <f>SUBTOTAL(103,$A$957:A1017)</f>
        <v>60</v>
      </c>
      <c r="C1017" s="90" t="s">
        <v>478</v>
      </c>
      <c r="D1017" s="185">
        <v>1959</v>
      </c>
      <c r="E1017" s="185"/>
      <c r="F1017" s="191" t="s">
        <v>273</v>
      </c>
      <c r="G1017" s="185">
        <v>2</v>
      </c>
      <c r="H1017" s="185">
        <v>2</v>
      </c>
      <c r="I1017" s="186">
        <v>611</v>
      </c>
      <c r="J1017" s="186">
        <v>564.20000000000005</v>
      </c>
      <c r="K1017" s="186">
        <v>492.1</v>
      </c>
      <c r="L1017" s="187">
        <v>36</v>
      </c>
      <c r="M1017" s="185" t="s">
        <v>271</v>
      </c>
      <c r="N1017" s="185" t="s">
        <v>275</v>
      </c>
      <c r="O1017" s="188" t="s">
        <v>354</v>
      </c>
      <c r="P1017" s="189">
        <v>2999201</v>
      </c>
      <c r="Q1017" s="189">
        <v>0</v>
      </c>
      <c r="R1017" s="189">
        <v>0</v>
      </c>
      <c r="S1017" s="189">
        <f t="shared" si="165"/>
        <v>2999201</v>
      </c>
      <c r="T1017" s="189">
        <f t="shared" si="157"/>
        <v>4908.675941080196</v>
      </c>
      <c r="U1017" s="189">
        <f>T1017</f>
        <v>4908.675941080196</v>
      </c>
      <c r="V1017" s="170">
        <f t="shared" si="163"/>
        <v>0</v>
      </c>
      <c r="W1017" s="170"/>
      <c r="X1017" s="170"/>
      <c r="Y1017" s="173">
        <f t="shared" si="164"/>
        <v>4674.8356792144032</v>
      </c>
      <c r="AA1017" s="173">
        <f t="shared" si="159"/>
        <v>547</v>
      </c>
      <c r="AH1017" s="173" t="e">
        <f t="shared" si="160"/>
        <v>#N/A</v>
      </c>
      <c r="AS1017" s="173" t="e">
        <f t="shared" si="161"/>
        <v>#N/A</v>
      </c>
    </row>
    <row r="1018" spans="1:45" s="173" customFormat="1" ht="36" customHeight="1" x14ac:dyDescent="0.9">
      <c r="A1018" s="173">
        <v>1</v>
      </c>
      <c r="B1018" s="91">
        <f>SUBTOTAL(103,$A$957:A1018)</f>
        <v>61</v>
      </c>
      <c r="C1018" s="90" t="s">
        <v>479</v>
      </c>
      <c r="D1018" s="185">
        <v>1960</v>
      </c>
      <c r="E1018" s="185"/>
      <c r="F1018" s="191" t="s">
        <v>273</v>
      </c>
      <c r="G1018" s="185">
        <v>2</v>
      </c>
      <c r="H1018" s="185">
        <v>2</v>
      </c>
      <c r="I1018" s="186">
        <v>551.9</v>
      </c>
      <c r="J1018" s="186">
        <v>506.9</v>
      </c>
      <c r="K1018" s="186">
        <v>404</v>
      </c>
      <c r="L1018" s="187">
        <v>27</v>
      </c>
      <c r="M1018" s="185" t="s">
        <v>271</v>
      </c>
      <c r="N1018" s="185" t="s">
        <v>289</v>
      </c>
      <c r="O1018" s="188" t="s">
        <v>274</v>
      </c>
      <c r="P1018" s="189">
        <v>2584541.12</v>
      </c>
      <c r="Q1018" s="189">
        <v>0</v>
      </c>
      <c r="R1018" s="189">
        <v>0</v>
      </c>
      <c r="S1018" s="189">
        <f t="shared" si="165"/>
        <v>2584541.12</v>
      </c>
      <c r="T1018" s="189">
        <f t="shared" si="157"/>
        <v>4682.9880775502816</v>
      </c>
      <c r="U1018" s="189">
        <f>T1018</f>
        <v>4682.9880775502816</v>
      </c>
      <c r="V1018" s="170">
        <f t="shared" si="163"/>
        <v>0</v>
      </c>
      <c r="W1018" s="170"/>
      <c r="X1018" s="170"/>
      <c r="Y1018" s="173">
        <f t="shared" si="164"/>
        <v>4666.4101467657192</v>
      </c>
      <c r="AA1018" s="173">
        <f t="shared" si="159"/>
        <v>493.2</v>
      </c>
      <c r="AH1018" s="173" t="e">
        <f t="shared" si="160"/>
        <v>#N/A</v>
      </c>
      <c r="AS1018" s="173" t="e">
        <f t="shared" si="161"/>
        <v>#N/A</v>
      </c>
    </row>
    <row r="1019" spans="1:45" s="173" customFormat="1" ht="36" customHeight="1" x14ac:dyDescent="0.9">
      <c r="A1019" s="173">
        <v>1</v>
      </c>
      <c r="B1019" s="91">
        <f>SUBTOTAL(103,$A$957:A1019)</f>
        <v>62</v>
      </c>
      <c r="C1019" s="90" t="s">
        <v>480</v>
      </c>
      <c r="D1019" s="185">
        <v>1968</v>
      </c>
      <c r="E1019" s="185"/>
      <c r="F1019" s="191" t="s">
        <v>273</v>
      </c>
      <c r="G1019" s="185">
        <v>5</v>
      </c>
      <c r="H1019" s="185">
        <v>4</v>
      </c>
      <c r="I1019" s="186">
        <v>3425.4</v>
      </c>
      <c r="J1019" s="186">
        <v>3171</v>
      </c>
      <c r="K1019" s="186">
        <v>2995.5</v>
      </c>
      <c r="L1019" s="187">
        <v>208</v>
      </c>
      <c r="M1019" s="185" t="s">
        <v>271</v>
      </c>
      <c r="N1019" s="185" t="s">
        <v>272</v>
      </c>
      <c r="O1019" s="188" t="s">
        <v>274</v>
      </c>
      <c r="P1019" s="189">
        <v>6581549.3999999994</v>
      </c>
      <c r="Q1019" s="189">
        <v>0</v>
      </c>
      <c r="R1019" s="189">
        <v>0</v>
      </c>
      <c r="S1019" s="189">
        <f t="shared" si="165"/>
        <v>6581549.3999999994</v>
      </c>
      <c r="T1019" s="189">
        <f t="shared" si="157"/>
        <v>1921.3958661762128</v>
      </c>
      <c r="U1019" s="189">
        <f>T1019</f>
        <v>1921.3958661762128</v>
      </c>
      <c r="V1019" s="170">
        <f t="shared" si="163"/>
        <v>0</v>
      </c>
      <c r="W1019" s="170"/>
      <c r="X1019" s="170"/>
      <c r="Y1019" s="173">
        <f t="shared" si="164"/>
        <v>1722.6116657908565</v>
      </c>
      <c r="AA1019" s="173">
        <f t="shared" si="159"/>
        <v>1130</v>
      </c>
      <c r="AH1019" s="173" t="e">
        <f t="shared" si="160"/>
        <v>#N/A</v>
      </c>
      <c r="AS1019" s="173" t="e">
        <f t="shared" si="161"/>
        <v>#N/A</v>
      </c>
    </row>
    <row r="1020" spans="1:45" s="173" customFormat="1" ht="36" customHeight="1" x14ac:dyDescent="0.9">
      <c r="A1020" s="173">
        <v>1</v>
      </c>
      <c r="B1020" s="91">
        <f>SUBTOTAL(103,$A$957:A1020)</f>
        <v>63</v>
      </c>
      <c r="C1020" s="90" t="s">
        <v>481</v>
      </c>
      <c r="D1020" s="185">
        <v>1966</v>
      </c>
      <c r="E1020" s="185"/>
      <c r="F1020" s="191" t="s">
        <v>273</v>
      </c>
      <c r="G1020" s="185">
        <v>5</v>
      </c>
      <c r="H1020" s="185">
        <v>3</v>
      </c>
      <c r="I1020" s="186">
        <v>2555.3000000000002</v>
      </c>
      <c r="J1020" s="186">
        <v>2523.1</v>
      </c>
      <c r="K1020" s="186">
        <v>2195.4</v>
      </c>
      <c r="L1020" s="187">
        <v>137</v>
      </c>
      <c r="M1020" s="185" t="s">
        <v>271</v>
      </c>
      <c r="N1020" s="185" t="s">
        <v>272</v>
      </c>
      <c r="O1020" s="188" t="s">
        <v>274</v>
      </c>
      <c r="P1020" s="189">
        <v>4737312</v>
      </c>
      <c r="Q1020" s="189">
        <v>0</v>
      </c>
      <c r="R1020" s="189">
        <v>0</v>
      </c>
      <c r="S1020" s="189">
        <f t="shared" si="165"/>
        <v>4737312</v>
      </c>
      <c r="T1020" s="189">
        <f t="shared" si="157"/>
        <v>1853.9161742261181</v>
      </c>
      <c r="U1020" s="189">
        <f>T1020</f>
        <v>1853.9161742261181</v>
      </c>
      <c r="V1020" s="170">
        <f t="shared" si="163"/>
        <v>0</v>
      </c>
      <c r="W1020" s="170"/>
      <c r="X1020" s="170"/>
      <c r="Y1020" s="173">
        <f t="shared" si="164"/>
        <v>1765.5990294681642</v>
      </c>
      <c r="AA1020" s="173">
        <f t="shared" si="159"/>
        <v>864</v>
      </c>
      <c r="AH1020" s="173" t="e">
        <f t="shared" si="160"/>
        <v>#N/A</v>
      </c>
      <c r="AS1020" s="173" t="e">
        <f t="shared" si="161"/>
        <v>#N/A</v>
      </c>
    </row>
    <row r="1021" spans="1:45" s="173" customFormat="1" ht="36" customHeight="1" x14ac:dyDescent="0.9">
      <c r="A1021" s="173">
        <v>1</v>
      </c>
      <c r="B1021" s="91">
        <f>SUBTOTAL(103,$A$957:A1021)</f>
        <v>64</v>
      </c>
      <c r="C1021" s="90" t="s">
        <v>482</v>
      </c>
      <c r="D1021" s="185">
        <v>1964</v>
      </c>
      <c r="E1021" s="185">
        <v>2008</v>
      </c>
      <c r="F1021" s="191" t="s">
        <v>273</v>
      </c>
      <c r="G1021" s="185">
        <v>4</v>
      </c>
      <c r="H1021" s="185">
        <v>2</v>
      </c>
      <c r="I1021" s="186">
        <v>1368.5</v>
      </c>
      <c r="J1021" s="186">
        <v>1271.5</v>
      </c>
      <c r="K1021" s="186">
        <v>1271.5</v>
      </c>
      <c r="L1021" s="187">
        <v>43</v>
      </c>
      <c r="M1021" s="185" t="s">
        <v>271</v>
      </c>
      <c r="N1021" s="185" t="s">
        <v>352</v>
      </c>
      <c r="O1021" s="188" t="s">
        <v>353</v>
      </c>
      <c r="P1021" s="189">
        <v>491510.45999999996</v>
      </c>
      <c r="Q1021" s="189">
        <v>0</v>
      </c>
      <c r="R1021" s="189">
        <v>0</v>
      </c>
      <c r="S1021" s="189">
        <f t="shared" si="165"/>
        <v>491510.45999999996</v>
      </c>
      <c r="T1021" s="189">
        <f t="shared" si="157"/>
        <v>359.15999999999997</v>
      </c>
      <c r="U1021" s="189">
        <v>359.15999999999997</v>
      </c>
      <c r="V1021" s="170">
        <f t="shared" si="163"/>
        <v>0</v>
      </c>
      <c r="W1021" s="170"/>
      <c r="X1021" s="170"/>
      <c r="Y1021" s="173" t="e">
        <f t="shared" si="164"/>
        <v>#N/A</v>
      </c>
      <c r="AA1021" s="173" t="e">
        <f t="shared" si="159"/>
        <v>#N/A</v>
      </c>
      <c r="AH1021" s="173" t="e">
        <f t="shared" si="160"/>
        <v>#N/A</v>
      </c>
      <c r="AS1021" s="173" t="e">
        <f t="shared" si="161"/>
        <v>#N/A</v>
      </c>
    </row>
    <row r="1022" spans="1:45" s="173" customFormat="1" ht="36" customHeight="1" x14ac:dyDescent="0.9">
      <c r="A1022" s="173">
        <v>1</v>
      </c>
      <c r="B1022" s="91">
        <f>SUBTOTAL(103,$A$957:A1022)</f>
        <v>65</v>
      </c>
      <c r="C1022" s="90" t="s">
        <v>483</v>
      </c>
      <c r="D1022" s="185">
        <v>1960</v>
      </c>
      <c r="E1022" s="185"/>
      <c r="F1022" s="191" t="s">
        <v>273</v>
      </c>
      <c r="G1022" s="185">
        <v>2</v>
      </c>
      <c r="H1022" s="185">
        <v>2</v>
      </c>
      <c r="I1022" s="186">
        <v>694.3</v>
      </c>
      <c r="J1022" s="186">
        <v>646.1</v>
      </c>
      <c r="K1022" s="186">
        <v>646.1</v>
      </c>
      <c r="L1022" s="187">
        <v>42</v>
      </c>
      <c r="M1022" s="185" t="s">
        <v>271</v>
      </c>
      <c r="N1022" s="185" t="s">
        <v>272</v>
      </c>
      <c r="O1022" s="188" t="s">
        <v>274</v>
      </c>
      <c r="P1022" s="189">
        <v>3422817.5799999996</v>
      </c>
      <c r="Q1022" s="189">
        <v>0</v>
      </c>
      <c r="R1022" s="189">
        <v>0</v>
      </c>
      <c r="S1022" s="189">
        <f t="shared" si="165"/>
        <v>3422817.5799999996</v>
      </c>
      <c r="T1022" s="189">
        <f t="shared" si="157"/>
        <v>4929.8827308080081</v>
      </c>
      <c r="U1022" s="189">
        <f t="shared" ref="U1022:U1029" si="166">T1022</f>
        <v>4929.8827308080081</v>
      </c>
      <c r="V1022" s="170">
        <f t="shared" si="163"/>
        <v>0</v>
      </c>
      <c r="W1022" s="170"/>
      <c r="X1022" s="170"/>
      <c r="Y1022" s="173">
        <f t="shared" si="164"/>
        <v>4695.0322166210581</v>
      </c>
      <c r="AA1022" s="173">
        <f t="shared" si="159"/>
        <v>624.26</v>
      </c>
      <c r="AH1022" s="173" t="e">
        <f t="shared" si="160"/>
        <v>#N/A</v>
      </c>
      <c r="AS1022" s="173" t="e">
        <f t="shared" si="161"/>
        <v>#N/A</v>
      </c>
    </row>
    <row r="1023" spans="1:45" s="173" customFormat="1" ht="36" customHeight="1" x14ac:dyDescent="0.9">
      <c r="A1023" s="173">
        <v>1</v>
      </c>
      <c r="B1023" s="91">
        <f>SUBTOTAL(103,$A$957:A1023)</f>
        <v>66</v>
      </c>
      <c r="C1023" s="90" t="s">
        <v>484</v>
      </c>
      <c r="D1023" s="185">
        <v>1961</v>
      </c>
      <c r="E1023" s="185"/>
      <c r="F1023" s="191" t="s">
        <v>273</v>
      </c>
      <c r="G1023" s="185">
        <v>2</v>
      </c>
      <c r="H1023" s="185">
        <v>2</v>
      </c>
      <c r="I1023" s="186">
        <v>579.4</v>
      </c>
      <c r="J1023" s="186">
        <v>538.1</v>
      </c>
      <c r="K1023" s="186">
        <v>470.3</v>
      </c>
      <c r="L1023" s="187">
        <v>35</v>
      </c>
      <c r="M1023" s="185" t="s">
        <v>271</v>
      </c>
      <c r="N1023" s="185" t="s">
        <v>289</v>
      </c>
      <c r="O1023" s="188" t="s">
        <v>274</v>
      </c>
      <c r="P1023" s="189">
        <v>2888444.4</v>
      </c>
      <c r="Q1023" s="189">
        <v>0</v>
      </c>
      <c r="R1023" s="189">
        <v>0</v>
      </c>
      <c r="S1023" s="189">
        <f t="shared" si="165"/>
        <v>2888444.4</v>
      </c>
      <c r="T1023" s="189">
        <f t="shared" si="157"/>
        <v>4985.2336900241626</v>
      </c>
      <c r="U1023" s="189">
        <f t="shared" si="166"/>
        <v>4985.2336900241626</v>
      </c>
      <c r="V1023" s="170">
        <f t="shared" si="163"/>
        <v>0</v>
      </c>
      <c r="W1023" s="170"/>
      <c r="X1023" s="170"/>
      <c r="Y1023" s="173">
        <f t="shared" si="164"/>
        <v>4747.7463583016915</v>
      </c>
      <c r="AA1023" s="173">
        <f t="shared" si="159"/>
        <v>526.79999999999995</v>
      </c>
      <c r="AH1023" s="173" t="e">
        <f t="shared" si="160"/>
        <v>#N/A</v>
      </c>
      <c r="AS1023" s="173" t="e">
        <f t="shared" si="161"/>
        <v>#N/A</v>
      </c>
    </row>
    <row r="1024" spans="1:45" s="173" customFormat="1" ht="36" customHeight="1" x14ac:dyDescent="0.9">
      <c r="A1024" s="173">
        <v>1</v>
      </c>
      <c r="B1024" s="91">
        <f>SUBTOTAL(103,$A$957:A1024)</f>
        <v>67</v>
      </c>
      <c r="C1024" s="90" t="s">
        <v>485</v>
      </c>
      <c r="D1024" s="185">
        <v>1960</v>
      </c>
      <c r="E1024" s="185"/>
      <c r="F1024" s="191" t="s">
        <v>273</v>
      </c>
      <c r="G1024" s="185">
        <v>2</v>
      </c>
      <c r="H1024" s="185">
        <v>2</v>
      </c>
      <c r="I1024" s="186">
        <v>591.29999999999995</v>
      </c>
      <c r="J1024" s="186">
        <v>542.9</v>
      </c>
      <c r="K1024" s="186">
        <v>477.6</v>
      </c>
      <c r="L1024" s="187">
        <v>27</v>
      </c>
      <c r="M1024" s="185" t="s">
        <v>271</v>
      </c>
      <c r="N1024" s="185" t="s">
        <v>272</v>
      </c>
      <c r="O1024" s="188" t="s">
        <v>274</v>
      </c>
      <c r="P1024" s="189">
        <v>3422817.5799999996</v>
      </c>
      <c r="Q1024" s="189">
        <v>0</v>
      </c>
      <c r="R1024" s="189">
        <v>0</v>
      </c>
      <c r="S1024" s="189">
        <f t="shared" si="165"/>
        <v>3422817.5799999996</v>
      </c>
      <c r="T1024" s="189">
        <f t="shared" si="157"/>
        <v>5788.6311178758669</v>
      </c>
      <c r="U1024" s="189">
        <f t="shared" si="166"/>
        <v>5788.6311178758669</v>
      </c>
      <c r="V1024" s="170">
        <f t="shared" si="163"/>
        <v>0</v>
      </c>
      <c r="W1024" s="170"/>
      <c r="X1024" s="170"/>
      <c r="Y1024" s="173">
        <f t="shared" si="164"/>
        <v>5512.8714155251146</v>
      </c>
      <c r="AA1024" s="173">
        <f t="shared" si="159"/>
        <v>624.26</v>
      </c>
      <c r="AH1024" s="173" t="e">
        <f t="shared" si="160"/>
        <v>#N/A</v>
      </c>
      <c r="AS1024" s="173" t="e">
        <f t="shared" si="161"/>
        <v>#N/A</v>
      </c>
    </row>
    <row r="1025" spans="1:45" s="173" customFormat="1" ht="36" customHeight="1" x14ac:dyDescent="0.9">
      <c r="A1025" s="173">
        <v>1</v>
      </c>
      <c r="B1025" s="91">
        <f>SUBTOTAL(103,$A$957:A1025)</f>
        <v>68</v>
      </c>
      <c r="C1025" s="90" t="s">
        <v>486</v>
      </c>
      <c r="D1025" s="185">
        <v>1962</v>
      </c>
      <c r="E1025" s="185"/>
      <c r="F1025" s="191" t="s">
        <v>273</v>
      </c>
      <c r="G1025" s="185">
        <v>2</v>
      </c>
      <c r="H1025" s="185">
        <v>2</v>
      </c>
      <c r="I1025" s="186">
        <v>588.1</v>
      </c>
      <c r="J1025" s="186">
        <v>540</v>
      </c>
      <c r="K1025" s="186">
        <v>500</v>
      </c>
      <c r="L1025" s="187">
        <v>26</v>
      </c>
      <c r="M1025" s="185" t="s">
        <v>271</v>
      </c>
      <c r="N1025" s="185" t="s">
        <v>272</v>
      </c>
      <c r="O1025" s="188" t="s">
        <v>274</v>
      </c>
      <c r="P1025" s="189">
        <v>3106903.4</v>
      </c>
      <c r="Q1025" s="189">
        <v>0</v>
      </c>
      <c r="R1025" s="189">
        <v>0</v>
      </c>
      <c r="S1025" s="189">
        <f t="shared" si="165"/>
        <v>3106903.4</v>
      </c>
      <c r="T1025" s="189">
        <f t="shared" si="157"/>
        <v>5282.9508586974998</v>
      </c>
      <c r="U1025" s="189">
        <f t="shared" si="166"/>
        <v>5282.9508586974998</v>
      </c>
      <c r="V1025" s="170">
        <f t="shared" si="163"/>
        <v>0</v>
      </c>
      <c r="W1025" s="170"/>
      <c r="X1025" s="170"/>
      <c r="Y1025" s="173">
        <f t="shared" si="164"/>
        <v>4837.7788301309311</v>
      </c>
      <c r="AA1025" s="173">
        <f t="shared" si="159"/>
        <v>544.85</v>
      </c>
      <c r="AH1025" s="173" t="e">
        <f t="shared" si="160"/>
        <v>#N/A</v>
      </c>
      <c r="AS1025" s="173" t="e">
        <f t="shared" si="161"/>
        <v>#N/A</v>
      </c>
    </row>
    <row r="1026" spans="1:45" s="173" customFormat="1" ht="36" customHeight="1" x14ac:dyDescent="0.9">
      <c r="A1026" s="173">
        <v>1</v>
      </c>
      <c r="B1026" s="91">
        <f>SUBTOTAL(103,$A$957:A1026)</f>
        <v>69</v>
      </c>
      <c r="C1026" s="90" t="s">
        <v>1745</v>
      </c>
      <c r="D1026" s="185">
        <v>1964</v>
      </c>
      <c r="E1026" s="185"/>
      <c r="F1026" s="191" t="s">
        <v>273</v>
      </c>
      <c r="G1026" s="185">
        <v>2</v>
      </c>
      <c r="H1026" s="185">
        <v>2</v>
      </c>
      <c r="I1026" s="186">
        <v>420</v>
      </c>
      <c r="J1026" s="186">
        <v>380.1</v>
      </c>
      <c r="K1026" s="186">
        <f>380.1-43.1</f>
        <v>337</v>
      </c>
      <c r="L1026" s="187">
        <v>21</v>
      </c>
      <c r="M1026" s="185" t="s">
        <v>271</v>
      </c>
      <c r="N1026" s="185" t="s">
        <v>272</v>
      </c>
      <c r="O1026" s="188" t="s">
        <v>274</v>
      </c>
      <c r="P1026" s="189">
        <v>2564145.2799999998</v>
      </c>
      <c r="Q1026" s="189">
        <v>0</v>
      </c>
      <c r="R1026" s="189">
        <v>0</v>
      </c>
      <c r="S1026" s="189">
        <f t="shared" si="165"/>
        <v>2564145.2799999998</v>
      </c>
      <c r="T1026" s="189">
        <f t="shared" si="157"/>
        <v>6105.107809523809</v>
      </c>
      <c r="U1026" s="189">
        <f>T1026</f>
        <v>6105.107809523809</v>
      </c>
      <c r="V1026" s="170">
        <f t="shared" si="163"/>
        <v>0</v>
      </c>
      <c r="W1026" s="170"/>
      <c r="X1026" s="170"/>
      <c r="Y1026" s="173" t="e">
        <f t="shared" si="164"/>
        <v>#N/A</v>
      </c>
      <c r="AA1026" s="173" t="e">
        <f t="shared" si="159"/>
        <v>#N/A</v>
      </c>
      <c r="AH1026" s="173" t="e">
        <f t="shared" si="160"/>
        <v>#N/A</v>
      </c>
      <c r="AS1026" s="173" t="e">
        <f t="shared" si="161"/>
        <v>#N/A</v>
      </c>
    </row>
    <row r="1027" spans="1:45" s="173" customFormat="1" ht="61.5" x14ac:dyDescent="0.9">
      <c r="A1027" s="173">
        <v>1</v>
      </c>
      <c r="B1027" s="91">
        <f>SUBTOTAL(103,$A$957:A1027)</f>
        <v>70</v>
      </c>
      <c r="C1027" s="90" t="s">
        <v>488</v>
      </c>
      <c r="D1027" s="185">
        <v>1965</v>
      </c>
      <c r="E1027" s="185"/>
      <c r="F1027" s="191" t="s">
        <v>273</v>
      </c>
      <c r="G1027" s="185">
        <v>4</v>
      </c>
      <c r="H1027" s="185">
        <v>3</v>
      </c>
      <c r="I1027" s="186">
        <v>2028.5</v>
      </c>
      <c r="J1027" s="186">
        <v>1881.3</v>
      </c>
      <c r="K1027" s="186">
        <v>1691</v>
      </c>
      <c r="L1027" s="187">
        <v>86</v>
      </c>
      <c r="M1027" s="185" t="s">
        <v>271</v>
      </c>
      <c r="N1027" s="185" t="s">
        <v>275</v>
      </c>
      <c r="O1027" s="188" t="s">
        <v>348</v>
      </c>
      <c r="P1027" s="189">
        <v>3110189.0700000003</v>
      </c>
      <c r="Q1027" s="189">
        <v>0</v>
      </c>
      <c r="R1027" s="189">
        <v>0</v>
      </c>
      <c r="S1027" s="189">
        <f t="shared" si="165"/>
        <v>3110189.0700000003</v>
      </c>
      <c r="T1027" s="189">
        <f t="shared" si="157"/>
        <v>1533.2457825979789</v>
      </c>
      <c r="U1027" s="189">
        <f t="shared" si="166"/>
        <v>1533.2457825979789</v>
      </c>
      <c r="V1027" s="170">
        <f t="shared" si="163"/>
        <v>0</v>
      </c>
      <c r="W1027" s="170"/>
      <c r="X1027" s="170"/>
      <c r="Y1027" s="173">
        <f t="shared" si="164"/>
        <v>1408.0969189055952</v>
      </c>
      <c r="AA1027" s="173">
        <f t="shared" si="159"/>
        <v>547</v>
      </c>
      <c r="AH1027" s="173" t="e">
        <f t="shared" si="160"/>
        <v>#N/A</v>
      </c>
      <c r="AS1027" s="173" t="e">
        <f t="shared" si="161"/>
        <v>#N/A</v>
      </c>
    </row>
    <row r="1028" spans="1:45" s="173" customFormat="1" ht="36" customHeight="1" x14ac:dyDescent="0.9">
      <c r="A1028" s="173">
        <v>1</v>
      </c>
      <c r="B1028" s="91">
        <f>SUBTOTAL(103,$A$957:A1028)</f>
        <v>71</v>
      </c>
      <c r="C1028" s="90" t="s">
        <v>489</v>
      </c>
      <c r="D1028" s="185">
        <v>1951</v>
      </c>
      <c r="E1028" s="185"/>
      <c r="F1028" s="191" t="s">
        <v>332</v>
      </c>
      <c r="G1028" s="185">
        <v>2</v>
      </c>
      <c r="H1028" s="185">
        <v>2</v>
      </c>
      <c r="I1028" s="186">
        <v>421.2</v>
      </c>
      <c r="J1028" s="186">
        <v>379.5</v>
      </c>
      <c r="K1028" s="186">
        <v>379.5</v>
      </c>
      <c r="L1028" s="187">
        <v>21</v>
      </c>
      <c r="M1028" s="185" t="s">
        <v>271</v>
      </c>
      <c r="N1028" s="185" t="s">
        <v>272</v>
      </c>
      <c r="O1028" s="188" t="s">
        <v>274</v>
      </c>
      <c r="P1028" s="189">
        <v>2521758.64</v>
      </c>
      <c r="Q1028" s="189">
        <v>0</v>
      </c>
      <c r="R1028" s="189">
        <v>0</v>
      </c>
      <c r="S1028" s="189">
        <f t="shared" si="165"/>
        <v>2521758.64</v>
      </c>
      <c r="T1028" s="189">
        <f t="shared" si="157"/>
        <v>5987.0812915479582</v>
      </c>
      <c r="U1028" s="189">
        <f t="shared" si="166"/>
        <v>5987.0812915479582</v>
      </c>
      <c r="V1028" s="170">
        <f t="shared" si="163"/>
        <v>0</v>
      </c>
      <c r="W1028" s="170"/>
      <c r="X1028" s="170"/>
      <c r="Y1028" s="173">
        <f t="shared" si="164"/>
        <v>4939.6343589743592</v>
      </c>
      <c r="AA1028" s="173">
        <f t="shared" si="159"/>
        <v>398.44</v>
      </c>
      <c r="AH1028" s="173" t="e">
        <f t="shared" si="160"/>
        <v>#N/A</v>
      </c>
      <c r="AS1028" s="173" t="e">
        <f t="shared" si="161"/>
        <v>#N/A</v>
      </c>
    </row>
    <row r="1029" spans="1:45" s="173" customFormat="1" ht="36" customHeight="1" x14ac:dyDescent="0.9">
      <c r="A1029" s="173">
        <v>1</v>
      </c>
      <c r="B1029" s="91">
        <f>SUBTOTAL(103,$A$957:A1029)</f>
        <v>72</v>
      </c>
      <c r="C1029" s="90" t="s">
        <v>1639</v>
      </c>
      <c r="D1029" s="185">
        <v>1967</v>
      </c>
      <c r="E1029" s="185"/>
      <c r="F1029" s="191" t="s">
        <v>1643</v>
      </c>
      <c r="G1029" s="185">
        <v>2</v>
      </c>
      <c r="H1029" s="185">
        <v>2</v>
      </c>
      <c r="I1029" s="186">
        <v>323</v>
      </c>
      <c r="J1029" s="186">
        <v>291.7</v>
      </c>
      <c r="K1029" s="186">
        <f>J1029</f>
        <v>291.7</v>
      </c>
      <c r="L1029" s="187">
        <v>16</v>
      </c>
      <c r="M1029" s="185" t="s">
        <v>271</v>
      </c>
      <c r="N1029" s="185" t="s">
        <v>272</v>
      </c>
      <c r="O1029" s="188" t="s">
        <v>274</v>
      </c>
      <c r="P1029" s="189">
        <v>2382311.33</v>
      </c>
      <c r="Q1029" s="189">
        <v>0</v>
      </c>
      <c r="R1029" s="189">
        <v>0</v>
      </c>
      <c r="S1029" s="189">
        <f>P1029-Q1029-R1029</f>
        <v>2382311.33</v>
      </c>
      <c r="T1029" s="189">
        <f t="shared" si="157"/>
        <v>7375.5768730650161</v>
      </c>
      <c r="U1029" s="189">
        <f t="shared" si="166"/>
        <v>7375.5768730650161</v>
      </c>
      <c r="V1029" s="170">
        <f t="shared" si="163"/>
        <v>0</v>
      </c>
      <c r="W1029" s="170"/>
      <c r="X1029" s="170"/>
      <c r="Y1029" s="173">
        <f t="shared" si="164"/>
        <v>6534.5249535603716</v>
      </c>
      <c r="AA1029" s="173">
        <f t="shared" si="159"/>
        <v>404.2</v>
      </c>
      <c r="AH1029" s="173" t="e">
        <f t="shared" si="160"/>
        <v>#N/A</v>
      </c>
      <c r="AS1029" s="173" t="e">
        <f t="shared" si="161"/>
        <v>#N/A</v>
      </c>
    </row>
    <row r="1030" spans="1:45" s="173" customFormat="1" ht="36" customHeight="1" x14ac:dyDescent="0.9">
      <c r="B1030" s="90" t="s">
        <v>782</v>
      </c>
      <c r="C1030" s="192"/>
      <c r="D1030" s="185" t="s">
        <v>915</v>
      </c>
      <c r="E1030" s="185" t="s">
        <v>915</v>
      </c>
      <c r="F1030" s="185" t="s">
        <v>915</v>
      </c>
      <c r="G1030" s="185" t="s">
        <v>915</v>
      </c>
      <c r="H1030" s="185" t="s">
        <v>915</v>
      </c>
      <c r="I1030" s="186">
        <f>SUM(I1031:I1056)</f>
        <v>50994.9</v>
      </c>
      <c r="J1030" s="186">
        <f>SUM(J1031:J1056)</f>
        <v>44145.490000000005</v>
      </c>
      <c r="K1030" s="186">
        <f>SUM(K1031:K1056)</f>
        <v>40738.989999999991</v>
      </c>
      <c r="L1030" s="187">
        <f>SUM(L1031:L1056)</f>
        <v>2143</v>
      </c>
      <c r="M1030" s="185" t="s">
        <v>915</v>
      </c>
      <c r="N1030" s="185" t="s">
        <v>915</v>
      </c>
      <c r="O1030" s="188" t="s">
        <v>915</v>
      </c>
      <c r="P1030" s="186">
        <v>87295266.429999992</v>
      </c>
      <c r="Q1030" s="186">
        <f>SUM(Q1031:Q1056)</f>
        <v>0</v>
      </c>
      <c r="R1030" s="186">
        <f>SUM(R1031:R1056)</f>
        <v>0</v>
      </c>
      <c r="S1030" s="186">
        <f>SUM(S1031:S1056)</f>
        <v>87295266.429999992</v>
      </c>
      <c r="T1030" s="189">
        <f t="shared" si="157"/>
        <v>1711.8430750918228</v>
      </c>
      <c r="U1030" s="189">
        <f>MAX(U1031:U1056)</f>
        <v>5928.6318427199185</v>
      </c>
      <c r="V1030" s="170">
        <f t="shared" si="163"/>
        <v>4216.7887676280952</v>
      </c>
      <c r="W1030" s="170"/>
      <c r="X1030" s="170"/>
      <c r="Y1030" s="173" t="e">
        <f t="shared" si="164"/>
        <v>#N/A</v>
      </c>
      <c r="AA1030" s="173" t="e">
        <f t="shared" si="159"/>
        <v>#N/A</v>
      </c>
      <c r="AH1030" s="173" t="e">
        <f t="shared" si="160"/>
        <v>#N/A</v>
      </c>
      <c r="AS1030" s="173" t="e">
        <f t="shared" si="161"/>
        <v>#N/A</v>
      </c>
    </row>
    <row r="1031" spans="1:45" s="173" customFormat="1" ht="36" customHeight="1" x14ac:dyDescent="0.9">
      <c r="A1031" s="173">
        <v>1</v>
      </c>
      <c r="B1031" s="91">
        <f>SUBTOTAL(103,$A$957:A1031)</f>
        <v>73</v>
      </c>
      <c r="C1031" s="90" t="s">
        <v>433</v>
      </c>
      <c r="D1031" s="185">
        <v>1959</v>
      </c>
      <c r="E1031" s="185"/>
      <c r="F1031" s="191" t="s">
        <v>273</v>
      </c>
      <c r="G1031" s="185">
        <v>3</v>
      </c>
      <c r="H1031" s="185">
        <v>4</v>
      </c>
      <c r="I1031" s="186">
        <v>2095.6</v>
      </c>
      <c r="J1031" s="186">
        <v>1915.7</v>
      </c>
      <c r="K1031" s="186">
        <v>1915.7</v>
      </c>
      <c r="L1031" s="187">
        <v>69</v>
      </c>
      <c r="M1031" s="185" t="s">
        <v>271</v>
      </c>
      <c r="N1031" s="185" t="s">
        <v>275</v>
      </c>
      <c r="O1031" s="188" t="s">
        <v>333</v>
      </c>
      <c r="P1031" s="189">
        <v>4337224.8899999997</v>
      </c>
      <c r="Q1031" s="189">
        <v>0</v>
      </c>
      <c r="R1031" s="189">
        <v>0</v>
      </c>
      <c r="S1031" s="189">
        <f t="shared" ref="S1031:S1056" si="167">P1031-Q1031-R1031</f>
        <v>4337224.8899999997</v>
      </c>
      <c r="T1031" s="189">
        <f t="shared" si="157"/>
        <v>2069.6816615766365</v>
      </c>
      <c r="U1031" s="189">
        <f>Y1031</f>
        <v>2317.3668639053253</v>
      </c>
      <c r="V1031" s="170">
        <f t="shared" si="163"/>
        <v>247.68520232868877</v>
      </c>
      <c r="W1031" s="170"/>
      <c r="X1031" s="170"/>
      <c r="Y1031" s="173">
        <f t="shared" si="164"/>
        <v>2317.3668639053253</v>
      </c>
      <c r="AA1031" s="173">
        <f t="shared" si="159"/>
        <v>930</v>
      </c>
      <c r="AH1031" s="173" t="e">
        <f t="shared" si="160"/>
        <v>#N/A</v>
      </c>
      <c r="AS1031" s="173" t="e">
        <f t="shared" si="161"/>
        <v>#N/A</v>
      </c>
    </row>
    <row r="1032" spans="1:45" s="173" customFormat="1" ht="36" customHeight="1" x14ac:dyDescent="0.9">
      <c r="A1032" s="173">
        <v>1</v>
      </c>
      <c r="B1032" s="91">
        <f>SUBTOTAL(103,$A$957:A1032)</f>
        <v>74</v>
      </c>
      <c r="C1032" s="90" t="s">
        <v>434</v>
      </c>
      <c r="D1032" s="185">
        <v>1989</v>
      </c>
      <c r="E1032" s="185"/>
      <c r="F1032" s="191" t="s">
        <v>273</v>
      </c>
      <c r="G1032" s="185">
        <v>5</v>
      </c>
      <c r="H1032" s="185">
        <v>3</v>
      </c>
      <c r="I1032" s="186">
        <v>2042.1</v>
      </c>
      <c r="J1032" s="186">
        <v>1708.9</v>
      </c>
      <c r="K1032" s="186">
        <v>1675.9</v>
      </c>
      <c r="L1032" s="187">
        <v>86</v>
      </c>
      <c r="M1032" s="185" t="s">
        <v>271</v>
      </c>
      <c r="N1032" s="185" t="s">
        <v>275</v>
      </c>
      <c r="O1032" s="188" t="s">
        <v>1016</v>
      </c>
      <c r="P1032" s="189">
        <v>2714283.9</v>
      </c>
      <c r="Q1032" s="189">
        <v>0</v>
      </c>
      <c r="R1032" s="189">
        <v>0</v>
      </c>
      <c r="S1032" s="189">
        <f t="shared" si="167"/>
        <v>2714283.9</v>
      </c>
      <c r="T1032" s="189">
        <f t="shared" si="157"/>
        <v>1329.1630674305861</v>
      </c>
      <c r="U1032" s="189">
        <f>Y1032</f>
        <v>1518.9017188188632</v>
      </c>
      <c r="V1032" s="170">
        <f t="shared" si="163"/>
        <v>189.73865138827705</v>
      </c>
      <c r="W1032" s="170"/>
      <c r="X1032" s="170"/>
      <c r="Y1032" s="173">
        <f t="shared" si="164"/>
        <v>1518.9017188188632</v>
      </c>
      <c r="AA1032" s="173">
        <f t="shared" si="159"/>
        <v>594</v>
      </c>
      <c r="AH1032" s="173" t="e">
        <f t="shared" si="160"/>
        <v>#N/A</v>
      </c>
      <c r="AS1032" s="173" t="e">
        <f t="shared" si="161"/>
        <v>#N/A</v>
      </c>
    </row>
    <row r="1033" spans="1:45" s="173" customFormat="1" ht="36" customHeight="1" x14ac:dyDescent="0.9">
      <c r="A1033" s="173">
        <v>1</v>
      </c>
      <c r="B1033" s="91">
        <f>SUBTOTAL(103,$A$957:A1033)</f>
        <v>75</v>
      </c>
      <c r="C1033" s="90" t="s">
        <v>435</v>
      </c>
      <c r="D1033" s="185">
        <v>1972</v>
      </c>
      <c r="E1033" s="185"/>
      <c r="F1033" s="191" t="s">
        <v>273</v>
      </c>
      <c r="G1033" s="185">
        <v>5</v>
      </c>
      <c r="H1033" s="185">
        <v>4</v>
      </c>
      <c r="I1033" s="186">
        <v>3577.12</v>
      </c>
      <c r="J1033" s="186">
        <v>3193.8</v>
      </c>
      <c r="K1033" s="186">
        <v>2940.98</v>
      </c>
      <c r="L1033" s="187">
        <v>152</v>
      </c>
      <c r="M1033" s="185" t="s">
        <v>271</v>
      </c>
      <c r="N1033" s="185" t="s">
        <v>275</v>
      </c>
      <c r="O1033" s="188" t="s">
        <v>336</v>
      </c>
      <c r="P1033" s="189">
        <v>5214319.6899999995</v>
      </c>
      <c r="Q1033" s="189">
        <v>0</v>
      </c>
      <c r="R1033" s="189">
        <v>0</v>
      </c>
      <c r="S1033" s="189">
        <f t="shared" si="167"/>
        <v>5214319.6899999995</v>
      </c>
      <c r="T1033" s="189">
        <f t="shared" si="157"/>
        <v>1457.6865439236033</v>
      </c>
      <c r="U1033" s="189">
        <f>Y1033</f>
        <v>1632.0314666547392</v>
      </c>
      <c r="V1033" s="170">
        <f t="shared" si="163"/>
        <v>174.34492273113597</v>
      </c>
      <c r="W1033" s="170"/>
      <c r="X1033" s="170"/>
      <c r="Y1033" s="173">
        <f t="shared" si="164"/>
        <v>1632.0314666547392</v>
      </c>
      <c r="AA1033" s="173">
        <f t="shared" si="159"/>
        <v>1118</v>
      </c>
      <c r="AH1033" s="173" t="e">
        <f t="shared" si="160"/>
        <v>#N/A</v>
      </c>
      <c r="AS1033" s="173" t="e">
        <f t="shared" si="161"/>
        <v>#N/A</v>
      </c>
    </row>
    <row r="1034" spans="1:45" s="173" customFormat="1" ht="36" customHeight="1" x14ac:dyDescent="0.9">
      <c r="A1034" s="173">
        <v>1</v>
      </c>
      <c r="B1034" s="91">
        <f>SUBTOTAL(103,$A$957:A1034)</f>
        <v>76</v>
      </c>
      <c r="C1034" s="90" t="s">
        <v>436</v>
      </c>
      <c r="D1034" s="185">
        <v>1955</v>
      </c>
      <c r="E1034" s="185"/>
      <c r="F1034" s="191" t="s">
        <v>273</v>
      </c>
      <c r="G1034" s="185">
        <v>2</v>
      </c>
      <c r="H1034" s="185">
        <v>3</v>
      </c>
      <c r="I1034" s="186">
        <v>1501.5</v>
      </c>
      <c r="J1034" s="186">
        <v>1386.8</v>
      </c>
      <c r="K1034" s="186">
        <v>1250.54</v>
      </c>
      <c r="L1034" s="187">
        <v>57</v>
      </c>
      <c r="M1034" s="185" t="s">
        <v>271</v>
      </c>
      <c r="N1034" s="185" t="s">
        <v>275</v>
      </c>
      <c r="O1034" s="188" t="s">
        <v>336</v>
      </c>
      <c r="P1034" s="189">
        <v>5749950</v>
      </c>
      <c r="Q1034" s="189">
        <v>0</v>
      </c>
      <c r="R1034" s="189">
        <v>0</v>
      </c>
      <c r="S1034" s="189">
        <f t="shared" si="167"/>
        <v>5749950</v>
      </c>
      <c r="T1034" s="189">
        <f t="shared" si="157"/>
        <v>3829.4705294705295</v>
      </c>
      <c r="U1034" s="189">
        <f>AG1034</f>
        <v>4687.6276319584658</v>
      </c>
      <c r="V1034" s="170">
        <f t="shared" si="163"/>
        <v>858.1571024879363</v>
      </c>
      <c r="W1034" s="170"/>
      <c r="X1034" s="170"/>
      <c r="Y1034" s="173" t="e">
        <f t="shared" si="164"/>
        <v>#N/A</v>
      </c>
      <c r="AA1034" s="173" t="e">
        <f t="shared" si="159"/>
        <v>#N/A</v>
      </c>
      <c r="AG1034" s="173">
        <f>AH1034*6191.24/J1034</f>
        <v>4687.6276319584658</v>
      </c>
      <c r="AH1034" s="173">
        <f t="shared" si="160"/>
        <v>1050</v>
      </c>
      <c r="AS1034" s="173" t="e">
        <f t="shared" si="161"/>
        <v>#N/A</v>
      </c>
    </row>
    <row r="1035" spans="1:45" s="173" customFormat="1" ht="36" customHeight="1" x14ac:dyDescent="0.9">
      <c r="A1035" s="173">
        <v>1</v>
      </c>
      <c r="B1035" s="91">
        <f>SUBTOTAL(103,$A$957:A1035)</f>
        <v>77</v>
      </c>
      <c r="C1035" s="90" t="s">
        <v>437</v>
      </c>
      <c r="D1035" s="185">
        <v>1961</v>
      </c>
      <c r="E1035" s="185"/>
      <c r="F1035" s="191" t="s">
        <v>273</v>
      </c>
      <c r="G1035" s="185">
        <v>2</v>
      </c>
      <c r="H1035" s="185">
        <v>1</v>
      </c>
      <c r="I1035" s="186">
        <v>646.49</v>
      </c>
      <c r="J1035" s="186">
        <v>588.49</v>
      </c>
      <c r="K1035" s="186">
        <v>588.49</v>
      </c>
      <c r="L1035" s="187">
        <v>29</v>
      </c>
      <c r="M1035" s="185" t="s">
        <v>271</v>
      </c>
      <c r="N1035" s="185" t="s">
        <v>272</v>
      </c>
      <c r="O1035" s="188" t="s">
        <v>274</v>
      </c>
      <c r="P1035" s="189">
        <v>3391530.1000000006</v>
      </c>
      <c r="Q1035" s="189">
        <v>0</v>
      </c>
      <c r="R1035" s="189">
        <v>0</v>
      </c>
      <c r="S1035" s="189">
        <f t="shared" si="167"/>
        <v>3391530.1000000006</v>
      </c>
      <c r="T1035" s="189">
        <f t="shared" si="157"/>
        <v>5246.0673792324715</v>
      </c>
      <c r="U1035" s="189">
        <f>Y1035</f>
        <v>5928.6318427199185</v>
      </c>
      <c r="V1035" s="170">
        <f t="shared" si="163"/>
        <v>682.56446348744703</v>
      </c>
      <c r="W1035" s="170"/>
      <c r="X1035" s="170"/>
      <c r="Y1035" s="173">
        <f t="shared" si="164"/>
        <v>5928.6318427199185</v>
      </c>
      <c r="AA1035" s="173">
        <f t="shared" si="159"/>
        <v>734</v>
      </c>
      <c r="AH1035" s="173" t="e">
        <f t="shared" si="160"/>
        <v>#N/A</v>
      </c>
      <c r="AS1035" s="173" t="e">
        <f t="shared" si="161"/>
        <v>#N/A</v>
      </c>
    </row>
    <row r="1036" spans="1:45" s="173" customFormat="1" ht="36" customHeight="1" x14ac:dyDescent="0.9">
      <c r="A1036" s="173">
        <v>1</v>
      </c>
      <c r="B1036" s="91">
        <f>SUBTOTAL(103,$A$957:A1036)</f>
        <v>78</v>
      </c>
      <c r="C1036" s="90" t="s">
        <v>438</v>
      </c>
      <c r="D1036" s="185">
        <v>1969</v>
      </c>
      <c r="E1036" s="185"/>
      <c r="F1036" s="191" t="s">
        <v>273</v>
      </c>
      <c r="G1036" s="185">
        <v>5</v>
      </c>
      <c r="H1036" s="185">
        <v>6</v>
      </c>
      <c r="I1036" s="186">
        <v>4890.1099999999997</v>
      </c>
      <c r="J1036" s="186">
        <v>4432.68</v>
      </c>
      <c r="K1036" s="186">
        <v>4177.2300000000005</v>
      </c>
      <c r="L1036" s="187">
        <v>212</v>
      </c>
      <c r="M1036" s="185" t="s">
        <v>271</v>
      </c>
      <c r="N1036" s="185" t="s">
        <v>275</v>
      </c>
      <c r="O1036" s="188" t="s">
        <v>329</v>
      </c>
      <c r="P1036" s="189">
        <v>8090003.5300000003</v>
      </c>
      <c r="Q1036" s="189">
        <v>0</v>
      </c>
      <c r="R1036" s="189">
        <v>0</v>
      </c>
      <c r="S1036" s="189">
        <f t="shared" si="167"/>
        <v>8090003.5300000003</v>
      </c>
      <c r="T1036" s="189">
        <f t="shared" si="157"/>
        <v>1654.3602352503319</v>
      </c>
      <c r="U1036" s="189">
        <f>Y1036</f>
        <v>1830.2584604436304</v>
      </c>
      <c r="V1036" s="170">
        <f t="shared" si="163"/>
        <v>175.89822519329846</v>
      </c>
      <c r="W1036" s="170"/>
      <c r="X1036" s="170"/>
      <c r="Y1036" s="173">
        <f t="shared" si="164"/>
        <v>1830.2584604436304</v>
      </c>
      <c r="AA1036" s="173">
        <f t="shared" si="159"/>
        <v>1714</v>
      </c>
      <c r="AH1036" s="173" t="e">
        <f t="shared" si="160"/>
        <v>#N/A</v>
      </c>
      <c r="AS1036" s="173" t="e">
        <f t="shared" si="161"/>
        <v>#N/A</v>
      </c>
    </row>
    <row r="1037" spans="1:45" s="173" customFormat="1" ht="36" customHeight="1" x14ac:dyDescent="0.9">
      <c r="A1037" s="173">
        <v>1</v>
      </c>
      <c r="B1037" s="91">
        <f>SUBTOTAL(103,$A$957:A1037)</f>
        <v>79</v>
      </c>
      <c r="C1037" s="90" t="s">
        <v>439</v>
      </c>
      <c r="D1037" s="185">
        <v>1961</v>
      </c>
      <c r="E1037" s="185"/>
      <c r="F1037" s="191" t="s">
        <v>273</v>
      </c>
      <c r="G1037" s="185">
        <v>2</v>
      </c>
      <c r="H1037" s="185">
        <v>2</v>
      </c>
      <c r="I1037" s="186">
        <v>824.68999999999994</v>
      </c>
      <c r="J1037" s="186">
        <v>778.39</v>
      </c>
      <c r="K1037" s="186">
        <v>728.73</v>
      </c>
      <c r="L1037" s="187">
        <v>49</v>
      </c>
      <c r="M1037" s="185" t="s">
        <v>271</v>
      </c>
      <c r="N1037" s="185" t="s">
        <v>275</v>
      </c>
      <c r="O1037" s="188" t="s">
        <v>333</v>
      </c>
      <c r="P1037" s="189">
        <v>2744983.73</v>
      </c>
      <c r="Q1037" s="189">
        <v>0</v>
      </c>
      <c r="R1037" s="189">
        <v>0</v>
      </c>
      <c r="S1037" s="189">
        <f t="shared" si="167"/>
        <v>2744983.73</v>
      </c>
      <c r="T1037" s="189">
        <f t="shared" si="157"/>
        <v>3328.5037165480367</v>
      </c>
      <c r="U1037" s="189">
        <f>Y1037</f>
        <v>3799.1002679794833</v>
      </c>
      <c r="V1037" s="170">
        <f t="shared" si="163"/>
        <v>470.59655143144664</v>
      </c>
      <c r="W1037" s="170"/>
      <c r="X1037" s="170"/>
      <c r="Y1037" s="173">
        <f t="shared" si="164"/>
        <v>3799.1002679794833</v>
      </c>
      <c r="AA1037" s="173">
        <f t="shared" si="159"/>
        <v>600</v>
      </c>
      <c r="AH1037" s="173" t="e">
        <f t="shared" si="160"/>
        <v>#N/A</v>
      </c>
      <c r="AS1037" s="173" t="e">
        <f t="shared" si="161"/>
        <v>#N/A</v>
      </c>
    </row>
    <row r="1038" spans="1:45" s="173" customFormat="1" ht="36" customHeight="1" x14ac:dyDescent="0.9">
      <c r="A1038" s="173">
        <v>1</v>
      </c>
      <c r="B1038" s="91">
        <f>SUBTOTAL(103,$A$957:A1038)</f>
        <v>80</v>
      </c>
      <c r="C1038" s="90" t="s">
        <v>440</v>
      </c>
      <c r="D1038" s="185">
        <v>1980</v>
      </c>
      <c r="E1038" s="185"/>
      <c r="F1038" s="191" t="s">
        <v>273</v>
      </c>
      <c r="G1038" s="185">
        <v>5</v>
      </c>
      <c r="H1038" s="185">
        <v>2</v>
      </c>
      <c r="I1038" s="186">
        <v>1589.4</v>
      </c>
      <c r="J1038" s="186">
        <v>1176.4000000000001</v>
      </c>
      <c r="K1038" s="186">
        <v>1117.8000000000002</v>
      </c>
      <c r="L1038" s="187">
        <v>65</v>
      </c>
      <c r="M1038" s="185" t="s">
        <v>271</v>
      </c>
      <c r="N1038" s="185" t="s">
        <v>275</v>
      </c>
      <c r="O1038" s="188" t="s">
        <v>333</v>
      </c>
      <c r="P1038" s="189">
        <v>1568740.5100000002</v>
      </c>
      <c r="Q1038" s="189">
        <v>0</v>
      </c>
      <c r="R1038" s="189">
        <v>0</v>
      </c>
      <c r="S1038" s="189">
        <f t="shared" si="167"/>
        <v>1568740.5100000002</v>
      </c>
      <c r="T1038" s="189">
        <f t="shared" si="157"/>
        <v>987.00170504592938</v>
      </c>
      <c r="U1038" s="189">
        <f>Y1038</f>
        <v>1149.8867497168742</v>
      </c>
      <c r="V1038" s="170">
        <f t="shared" si="163"/>
        <v>162.88504467094481</v>
      </c>
      <c r="W1038" s="170"/>
      <c r="X1038" s="170"/>
      <c r="Y1038" s="173">
        <f t="shared" si="164"/>
        <v>1149.8867497168742</v>
      </c>
      <c r="AA1038" s="173">
        <f t="shared" si="159"/>
        <v>350</v>
      </c>
      <c r="AH1038" s="173" t="e">
        <f t="shared" si="160"/>
        <v>#N/A</v>
      </c>
      <c r="AS1038" s="173" t="e">
        <f t="shared" si="161"/>
        <v>#N/A</v>
      </c>
    </row>
    <row r="1039" spans="1:45" s="173" customFormat="1" ht="36" customHeight="1" x14ac:dyDescent="0.9">
      <c r="A1039" s="173">
        <v>1</v>
      </c>
      <c r="B1039" s="91">
        <f>SUBTOTAL(103,$A$957:A1039)</f>
        <v>81</v>
      </c>
      <c r="C1039" s="90" t="s">
        <v>209</v>
      </c>
      <c r="D1039" s="185">
        <v>1983</v>
      </c>
      <c r="E1039" s="185"/>
      <c r="F1039" s="191" t="s">
        <v>273</v>
      </c>
      <c r="G1039" s="185">
        <v>5</v>
      </c>
      <c r="H1039" s="185">
        <v>4</v>
      </c>
      <c r="I1039" s="186">
        <v>3097.1</v>
      </c>
      <c r="J1039" s="186">
        <v>2810.6</v>
      </c>
      <c r="K1039" s="186">
        <v>2810.6</v>
      </c>
      <c r="L1039" s="187">
        <v>127</v>
      </c>
      <c r="M1039" s="185" t="s">
        <v>271</v>
      </c>
      <c r="N1039" s="185" t="s">
        <v>275</v>
      </c>
      <c r="O1039" s="188" t="s">
        <v>1016</v>
      </c>
      <c r="P1039" s="189">
        <v>4671497.92</v>
      </c>
      <c r="Q1039" s="189">
        <v>0</v>
      </c>
      <c r="R1039" s="189">
        <v>0</v>
      </c>
      <c r="S1039" s="189">
        <f t="shared" si="167"/>
        <v>4671497.92</v>
      </c>
      <c r="T1039" s="189">
        <f t="shared" ref="T1039:T1102" si="168">P1039/I1039</f>
        <v>1508.3458461141067</v>
      </c>
      <c r="U1039" s="189">
        <f>Y1039</f>
        <v>1684.3428368473735</v>
      </c>
      <c r="V1039" s="170">
        <f t="shared" si="163"/>
        <v>175.99699073326678</v>
      </c>
      <c r="W1039" s="170"/>
      <c r="X1039" s="170"/>
      <c r="Y1039" s="173">
        <f t="shared" si="164"/>
        <v>1684.3428368473735</v>
      </c>
      <c r="AA1039" s="173">
        <f t="shared" si="159"/>
        <v>999</v>
      </c>
      <c r="AH1039" s="173" t="e">
        <f t="shared" si="160"/>
        <v>#N/A</v>
      </c>
      <c r="AS1039" s="173" t="e">
        <f t="shared" si="161"/>
        <v>#N/A</v>
      </c>
    </row>
    <row r="1040" spans="1:45" s="173" customFormat="1" ht="36" customHeight="1" x14ac:dyDescent="0.9">
      <c r="A1040" s="173">
        <v>1</v>
      </c>
      <c r="B1040" s="91">
        <f>SUBTOTAL(103,$A$957:A1040)</f>
        <v>82</v>
      </c>
      <c r="C1040" s="90" t="s">
        <v>210</v>
      </c>
      <c r="D1040" s="185">
        <v>1963</v>
      </c>
      <c r="E1040" s="185"/>
      <c r="F1040" s="191" t="s">
        <v>273</v>
      </c>
      <c r="G1040" s="185">
        <v>2</v>
      </c>
      <c r="H1040" s="185">
        <v>2</v>
      </c>
      <c r="I1040" s="186">
        <v>490.8</v>
      </c>
      <c r="J1040" s="186">
        <v>442.2</v>
      </c>
      <c r="K1040" s="186">
        <v>442.2</v>
      </c>
      <c r="L1040" s="187">
        <v>19</v>
      </c>
      <c r="M1040" s="185" t="s">
        <v>271</v>
      </c>
      <c r="N1040" s="185" t="s">
        <v>275</v>
      </c>
      <c r="O1040" s="188" t="s">
        <v>334</v>
      </c>
      <c r="P1040" s="189">
        <v>457907</v>
      </c>
      <c r="Q1040" s="189">
        <v>0</v>
      </c>
      <c r="R1040" s="189">
        <v>0</v>
      </c>
      <c r="S1040" s="189">
        <f t="shared" si="167"/>
        <v>457907</v>
      </c>
      <c r="T1040" s="189">
        <f t="shared" si="168"/>
        <v>932.98084759576204</v>
      </c>
      <c r="U1040" s="189">
        <v>932.98084759576204</v>
      </c>
      <c r="V1040" s="170">
        <f t="shared" si="163"/>
        <v>0</v>
      </c>
      <c r="W1040" s="170"/>
      <c r="X1040" s="170"/>
      <c r="Y1040" s="173" t="e">
        <f t="shared" si="164"/>
        <v>#N/A</v>
      </c>
      <c r="AA1040" s="173" t="e">
        <f t="shared" si="159"/>
        <v>#N/A</v>
      </c>
      <c r="AH1040" s="173" t="e">
        <f t="shared" si="160"/>
        <v>#N/A</v>
      </c>
      <c r="AS1040" s="173" t="e">
        <f t="shared" si="161"/>
        <v>#N/A</v>
      </c>
    </row>
    <row r="1041" spans="1:45" s="173" customFormat="1" ht="36" customHeight="1" x14ac:dyDescent="0.9">
      <c r="A1041" s="173">
        <v>1</v>
      </c>
      <c r="B1041" s="91">
        <f>SUBTOTAL(103,$A$957:A1041)</f>
        <v>83</v>
      </c>
      <c r="C1041" s="90" t="s">
        <v>211</v>
      </c>
      <c r="D1041" s="185">
        <v>1969</v>
      </c>
      <c r="E1041" s="185"/>
      <c r="F1041" s="191" t="s">
        <v>273</v>
      </c>
      <c r="G1041" s="185">
        <v>2</v>
      </c>
      <c r="H1041" s="185">
        <v>2</v>
      </c>
      <c r="I1041" s="186">
        <v>640.40000000000009</v>
      </c>
      <c r="J1041" s="186">
        <v>589.20000000000005</v>
      </c>
      <c r="K1041" s="186">
        <v>537.5</v>
      </c>
      <c r="L1041" s="187">
        <v>31</v>
      </c>
      <c r="M1041" s="185" t="s">
        <v>271</v>
      </c>
      <c r="N1041" s="185" t="s">
        <v>275</v>
      </c>
      <c r="O1041" s="188" t="s">
        <v>334</v>
      </c>
      <c r="P1041" s="189">
        <v>632281</v>
      </c>
      <c r="Q1041" s="189">
        <v>0</v>
      </c>
      <c r="R1041" s="189">
        <v>0</v>
      </c>
      <c r="S1041" s="189">
        <f t="shared" si="167"/>
        <v>632281</v>
      </c>
      <c r="T1041" s="189">
        <f t="shared" si="168"/>
        <v>987.32198625858825</v>
      </c>
      <c r="U1041" s="189">
        <v>987.32198625858825</v>
      </c>
      <c r="V1041" s="170">
        <f t="shared" si="163"/>
        <v>0</v>
      </c>
      <c r="W1041" s="170"/>
      <c r="X1041" s="170"/>
      <c r="Y1041" s="173" t="e">
        <f t="shared" si="164"/>
        <v>#N/A</v>
      </c>
      <c r="AA1041" s="173" t="e">
        <f t="shared" si="159"/>
        <v>#N/A</v>
      </c>
      <c r="AH1041" s="173" t="e">
        <f t="shared" si="160"/>
        <v>#N/A</v>
      </c>
      <c r="AS1041" s="173" t="e">
        <f t="shared" si="161"/>
        <v>#N/A</v>
      </c>
    </row>
    <row r="1042" spans="1:45" s="173" customFormat="1" ht="36" customHeight="1" x14ac:dyDescent="0.9">
      <c r="A1042" s="173">
        <v>1</v>
      </c>
      <c r="B1042" s="91">
        <f>SUBTOTAL(103,$A$957:A1042)</f>
        <v>84</v>
      </c>
      <c r="C1042" s="90" t="s">
        <v>212</v>
      </c>
      <c r="D1042" s="185">
        <v>1966</v>
      </c>
      <c r="E1042" s="185"/>
      <c r="F1042" s="191" t="s">
        <v>273</v>
      </c>
      <c r="G1042" s="185">
        <v>2</v>
      </c>
      <c r="H1042" s="185">
        <v>2</v>
      </c>
      <c r="I1042" s="186">
        <v>781.6</v>
      </c>
      <c r="J1042" s="186">
        <v>719.9</v>
      </c>
      <c r="K1042" s="186">
        <v>670.3</v>
      </c>
      <c r="L1042" s="187">
        <v>25</v>
      </c>
      <c r="M1042" s="185" t="s">
        <v>271</v>
      </c>
      <c r="N1042" s="185" t="s">
        <v>275</v>
      </c>
      <c r="O1042" s="188" t="s">
        <v>334</v>
      </c>
      <c r="P1042" s="189">
        <v>731529</v>
      </c>
      <c r="Q1042" s="189">
        <v>0</v>
      </c>
      <c r="R1042" s="189">
        <v>0</v>
      </c>
      <c r="S1042" s="189">
        <f t="shared" si="167"/>
        <v>731529</v>
      </c>
      <c r="T1042" s="189">
        <f t="shared" si="168"/>
        <v>935.93781985670421</v>
      </c>
      <c r="U1042" s="189">
        <v>935.93781985670421</v>
      </c>
      <c r="V1042" s="170">
        <f t="shared" si="163"/>
        <v>0</v>
      </c>
      <c r="W1042" s="170"/>
      <c r="X1042" s="170"/>
      <c r="Y1042" s="173" t="e">
        <f t="shared" si="164"/>
        <v>#N/A</v>
      </c>
      <c r="AA1042" s="173" t="e">
        <f t="shared" si="159"/>
        <v>#N/A</v>
      </c>
      <c r="AH1042" s="173" t="e">
        <f t="shared" si="160"/>
        <v>#N/A</v>
      </c>
      <c r="AS1042" s="173" t="e">
        <f t="shared" si="161"/>
        <v>#N/A</v>
      </c>
    </row>
    <row r="1043" spans="1:45" s="173" customFormat="1" ht="36" customHeight="1" x14ac:dyDescent="0.9">
      <c r="A1043" s="173">
        <v>1</v>
      </c>
      <c r="B1043" s="91">
        <f>SUBTOTAL(103,$A$957:A1043)</f>
        <v>85</v>
      </c>
      <c r="C1043" s="90" t="s">
        <v>441</v>
      </c>
      <c r="D1043" s="185">
        <v>1963</v>
      </c>
      <c r="E1043" s="185"/>
      <c r="F1043" s="191" t="s">
        <v>273</v>
      </c>
      <c r="G1043" s="185">
        <v>4</v>
      </c>
      <c r="H1043" s="185">
        <v>3</v>
      </c>
      <c r="I1043" s="186">
        <v>2141.94</v>
      </c>
      <c r="J1043" s="186">
        <v>1753.08</v>
      </c>
      <c r="K1043" s="186">
        <v>1544.6799999999998</v>
      </c>
      <c r="L1043" s="187">
        <v>61</v>
      </c>
      <c r="M1043" s="185" t="s">
        <v>271</v>
      </c>
      <c r="N1043" s="185" t="s">
        <v>275</v>
      </c>
      <c r="O1043" s="188" t="s">
        <v>1016</v>
      </c>
      <c r="P1043" s="189">
        <v>4760772.24</v>
      </c>
      <c r="Q1043" s="189">
        <v>0</v>
      </c>
      <c r="R1043" s="189">
        <v>0</v>
      </c>
      <c r="S1043" s="189">
        <f t="shared" si="167"/>
        <v>4760772.24</v>
      </c>
      <c r="T1043" s="189">
        <f t="shared" si="168"/>
        <v>2222.6450040617383</v>
      </c>
      <c r="U1043" s="189">
        <f>Y1043</f>
        <v>2496.392616039665</v>
      </c>
      <c r="V1043" s="170">
        <f t="shared" si="163"/>
        <v>273.74761197792668</v>
      </c>
      <c r="W1043" s="170"/>
      <c r="X1043" s="170"/>
      <c r="Y1043" s="173">
        <f t="shared" si="164"/>
        <v>2496.392616039665</v>
      </c>
      <c r="AA1043" s="173">
        <f t="shared" si="159"/>
        <v>1024</v>
      </c>
      <c r="AH1043" s="173" t="e">
        <f t="shared" si="160"/>
        <v>#N/A</v>
      </c>
      <c r="AS1043" s="173" t="e">
        <f t="shared" si="161"/>
        <v>#N/A</v>
      </c>
    </row>
    <row r="1044" spans="1:45" s="173" customFormat="1" ht="36" customHeight="1" x14ac:dyDescent="0.9">
      <c r="A1044" s="173">
        <v>1</v>
      </c>
      <c r="B1044" s="91">
        <f>SUBTOTAL(103,$A$957:A1044)</f>
        <v>86</v>
      </c>
      <c r="C1044" s="90" t="s">
        <v>442</v>
      </c>
      <c r="D1044" s="185">
        <v>1974</v>
      </c>
      <c r="E1044" s="185"/>
      <c r="F1044" s="191" t="s">
        <v>273</v>
      </c>
      <c r="G1044" s="185">
        <v>9</v>
      </c>
      <c r="H1044" s="185">
        <v>2</v>
      </c>
      <c r="I1044" s="186">
        <v>5409.4</v>
      </c>
      <c r="J1044" s="186">
        <v>4377.3999999999996</v>
      </c>
      <c r="K1044" s="186">
        <v>4227.7</v>
      </c>
      <c r="L1044" s="187">
        <v>190</v>
      </c>
      <c r="M1044" s="185" t="s">
        <v>271</v>
      </c>
      <c r="N1044" s="185" t="s">
        <v>275</v>
      </c>
      <c r="O1044" s="188" t="s">
        <v>1016</v>
      </c>
      <c r="P1044" s="189">
        <v>4331631.53</v>
      </c>
      <c r="Q1044" s="189">
        <v>0</v>
      </c>
      <c r="R1044" s="189">
        <v>0</v>
      </c>
      <c r="S1044" s="189">
        <f t="shared" si="167"/>
        <v>4331631.53</v>
      </c>
      <c r="T1044" s="189">
        <f t="shared" si="168"/>
        <v>800.76007135726707</v>
      </c>
      <c r="U1044" s="189">
        <f>AR1044</f>
        <v>816.13968277442973</v>
      </c>
      <c r="V1044" s="170">
        <f t="shared" si="163"/>
        <v>15.379611417162664</v>
      </c>
      <c r="W1044" s="170"/>
      <c r="X1044" s="170"/>
      <c r="Y1044" s="173" t="e">
        <f t="shared" si="164"/>
        <v>#N/A</v>
      </c>
      <c r="AA1044" s="173" t="e">
        <f t="shared" si="159"/>
        <v>#N/A</v>
      </c>
      <c r="AH1044" s="173" t="e">
        <f t="shared" si="160"/>
        <v>#N/A</v>
      </c>
      <c r="AR1044" s="173">
        <f>AS1044*2207413/I1044</f>
        <v>816.13968277442973</v>
      </c>
      <c r="AS1044" s="173">
        <f t="shared" si="161"/>
        <v>2</v>
      </c>
    </row>
    <row r="1045" spans="1:45" s="173" customFormat="1" ht="36" customHeight="1" x14ac:dyDescent="0.9">
      <c r="A1045" s="173">
        <v>1</v>
      </c>
      <c r="B1045" s="91">
        <f>SUBTOTAL(103,$A$957:A1045)</f>
        <v>87</v>
      </c>
      <c r="C1045" s="90" t="s">
        <v>443</v>
      </c>
      <c r="D1045" s="185">
        <v>1958</v>
      </c>
      <c r="E1045" s="185"/>
      <c r="F1045" s="191" t="s">
        <v>273</v>
      </c>
      <c r="G1045" s="185">
        <v>2</v>
      </c>
      <c r="H1045" s="185">
        <v>2</v>
      </c>
      <c r="I1045" s="186">
        <v>717.8</v>
      </c>
      <c r="J1045" s="186">
        <v>649.4</v>
      </c>
      <c r="K1045" s="186">
        <v>507.29999999999995</v>
      </c>
      <c r="L1045" s="187">
        <v>47</v>
      </c>
      <c r="M1045" s="185" t="s">
        <v>271</v>
      </c>
      <c r="N1045" s="185" t="s">
        <v>275</v>
      </c>
      <c r="O1045" s="188" t="s">
        <v>333</v>
      </c>
      <c r="P1045" s="189">
        <v>2789948.7</v>
      </c>
      <c r="Q1045" s="189">
        <v>0</v>
      </c>
      <c r="R1045" s="189">
        <v>0</v>
      </c>
      <c r="S1045" s="189">
        <f t="shared" si="167"/>
        <v>2789948.7</v>
      </c>
      <c r="T1045" s="189">
        <f t="shared" si="168"/>
        <v>3886.8050989133467</v>
      </c>
      <c r="U1045" s="189">
        <f t="shared" ref="U1045:U1052" si="169">Y1045</f>
        <v>4364.8370019504046</v>
      </c>
      <c r="V1045" s="170">
        <f t="shared" si="163"/>
        <v>478.03190303705787</v>
      </c>
      <c r="W1045" s="170"/>
      <c r="X1045" s="170"/>
      <c r="Y1045" s="173">
        <f t="shared" si="164"/>
        <v>4364.8370019504046</v>
      </c>
      <c r="AA1045" s="173">
        <f t="shared" si="159"/>
        <v>600</v>
      </c>
      <c r="AH1045" s="173" t="e">
        <f t="shared" si="160"/>
        <v>#N/A</v>
      </c>
      <c r="AS1045" s="173" t="e">
        <f t="shared" si="161"/>
        <v>#N/A</v>
      </c>
    </row>
    <row r="1046" spans="1:45" s="173" customFormat="1" ht="36" customHeight="1" x14ac:dyDescent="0.9">
      <c r="A1046" s="173">
        <v>1</v>
      </c>
      <c r="B1046" s="91">
        <f>SUBTOTAL(103,$A$957:A1046)</f>
        <v>88</v>
      </c>
      <c r="C1046" s="90" t="s">
        <v>444</v>
      </c>
      <c r="D1046" s="185">
        <v>1956</v>
      </c>
      <c r="E1046" s="185"/>
      <c r="F1046" s="191" t="s">
        <v>332</v>
      </c>
      <c r="G1046" s="185">
        <v>2</v>
      </c>
      <c r="H1046" s="185">
        <v>3</v>
      </c>
      <c r="I1046" s="186">
        <v>1239.2</v>
      </c>
      <c r="J1046" s="186">
        <v>932.1</v>
      </c>
      <c r="K1046" s="186">
        <v>643.79999999999995</v>
      </c>
      <c r="L1046" s="187">
        <v>44</v>
      </c>
      <c r="M1046" s="185" t="s">
        <v>271</v>
      </c>
      <c r="N1046" s="185" t="s">
        <v>275</v>
      </c>
      <c r="O1046" s="188" t="s">
        <v>329</v>
      </c>
      <c r="P1046" s="189">
        <v>3242314.75</v>
      </c>
      <c r="Q1046" s="189">
        <v>0</v>
      </c>
      <c r="R1046" s="189">
        <v>0</v>
      </c>
      <c r="S1046" s="189">
        <f t="shared" si="167"/>
        <v>3242314.75</v>
      </c>
      <c r="T1046" s="189">
        <f t="shared" si="168"/>
        <v>2616.4579970948998</v>
      </c>
      <c r="U1046" s="189">
        <f t="shared" si="169"/>
        <v>3147.744189799871</v>
      </c>
      <c r="V1046" s="170">
        <f t="shared" si="163"/>
        <v>531.2861927049712</v>
      </c>
      <c r="W1046" s="170"/>
      <c r="X1046" s="170"/>
      <c r="Y1046" s="173">
        <f t="shared" si="164"/>
        <v>3147.744189799871</v>
      </c>
      <c r="AA1046" s="173">
        <f t="shared" si="159"/>
        <v>747</v>
      </c>
      <c r="AH1046" s="173" t="e">
        <f t="shared" si="160"/>
        <v>#N/A</v>
      </c>
      <c r="AS1046" s="173" t="e">
        <f t="shared" si="161"/>
        <v>#N/A</v>
      </c>
    </row>
    <row r="1047" spans="1:45" s="173" customFormat="1" ht="36" customHeight="1" x14ac:dyDescent="0.9">
      <c r="A1047" s="173">
        <v>1</v>
      </c>
      <c r="B1047" s="91">
        <f>SUBTOTAL(103,$A$957:A1047)</f>
        <v>89</v>
      </c>
      <c r="C1047" s="90" t="s">
        <v>445</v>
      </c>
      <c r="D1047" s="185">
        <v>1968</v>
      </c>
      <c r="E1047" s="185"/>
      <c r="F1047" s="191" t="s">
        <v>273</v>
      </c>
      <c r="G1047" s="185">
        <v>3</v>
      </c>
      <c r="H1047" s="185">
        <v>2</v>
      </c>
      <c r="I1047" s="186">
        <v>1032.5</v>
      </c>
      <c r="J1047" s="186">
        <v>644</v>
      </c>
      <c r="K1047" s="186">
        <v>445.9</v>
      </c>
      <c r="L1047" s="187">
        <v>76</v>
      </c>
      <c r="M1047" s="185" t="s">
        <v>271</v>
      </c>
      <c r="N1047" s="185" t="s">
        <v>275</v>
      </c>
      <c r="O1047" s="188" t="s">
        <v>336</v>
      </c>
      <c r="P1047" s="189">
        <v>2210461.9000000004</v>
      </c>
      <c r="Q1047" s="189">
        <v>0</v>
      </c>
      <c r="R1047" s="189">
        <v>0</v>
      </c>
      <c r="S1047" s="189">
        <f t="shared" si="167"/>
        <v>2210461.9000000004</v>
      </c>
      <c r="T1047" s="189">
        <f t="shared" si="168"/>
        <v>2140.8831961259084</v>
      </c>
      <c r="U1047" s="189">
        <f t="shared" si="169"/>
        <v>2442.7403389830506</v>
      </c>
      <c r="V1047" s="170">
        <f t="shared" si="163"/>
        <v>301.85714285714221</v>
      </c>
      <c r="W1047" s="170"/>
      <c r="X1047" s="170"/>
      <c r="Y1047" s="173">
        <f t="shared" si="164"/>
        <v>2442.7403389830506</v>
      </c>
      <c r="AA1047" s="173">
        <f t="shared" si="159"/>
        <v>483</v>
      </c>
      <c r="AH1047" s="173" t="e">
        <f t="shared" si="160"/>
        <v>#N/A</v>
      </c>
      <c r="AS1047" s="173" t="e">
        <f t="shared" si="161"/>
        <v>#N/A</v>
      </c>
    </row>
    <row r="1048" spans="1:45" s="173" customFormat="1" ht="36" customHeight="1" x14ac:dyDescent="0.9">
      <c r="A1048" s="173">
        <v>1</v>
      </c>
      <c r="B1048" s="91">
        <f>SUBTOTAL(103,$A$957:A1048)</f>
        <v>90</v>
      </c>
      <c r="C1048" s="90" t="s">
        <v>446</v>
      </c>
      <c r="D1048" s="185">
        <v>1969</v>
      </c>
      <c r="E1048" s="185"/>
      <c r="F1048" s="191" t="s">
        <v>273</v>
      </c>
      <c r="G1048" s="185">
        <v>5</v>
      </c>
      <c r="H1048" s="185">
        <v>6</v>
      </c>
      <c r="I1048" s="186">
        <v>5048.3000000000011</v>
      </c>
      <c r="J1048" s="186">
        <v>4487.6000000000004</v>
      </c>
      <c r="K1048" s="186">
        <v>3957.13</v>
      </c>
      <c r="L1048" s="187">
        <v>204</v>
      </c>
      <c r="M1048" s="185" t="s">
        <v>271</v>
      </c>
      <c r="N1048" s="185" t="s">
        <v>275</v>
      </c>
      <c r="O1048" s="188" t="s">
        <v>336</v>
      </c>
      <c r="P1048" s="189">
        <v>7557284.3099999996</v>
      </c>
      <c r="Q1048" s="189">
        <v>0</v>
      </c>
      <c r="R1048" s="189">
        <v>0</v>
      </c>
      <c r="S1048" s="189">
        <f t="shared" si="167"/>
        <v>7557284.3099999996</v>
      </c>
      <c r="T1048" s="189">
        <f t="shared" si="168"/>
        <v>1496.9958817819856</v>
      </c>
      <c r="U1048" s="189">
        <f t="shared" si="169"/>
        <v>1552.5863756115916</v>
      </c>
      <c r="V1048" s="170">
        <f t="shared" si="163"/>
        <v>55.590493829605975</v>
      </c>
      <c r="W1048" s="170"/>
      <c r="X1048" s="170"/>
      <c r="Y1048" s="173">
        <f t="shared" si="164"/>
        <v>1552.5863756115916</v>
      </c>
      <c r="AA1048" s="173">
        <f t="shared" si="159"/>
        <v>1501</v>
      </c>
      <c r="AH1048" s="173" t="e">
        <f t="shared" si="160"/>
        <v>#N/A</v>
      </c>
      <c r="AS1048" s="173" t="e">
        <f t="shared" si="161"/>
        <v>#N/A</v>
      </c>
    </row>
    <row r="1049" spans="1:45" s="173" customFormat="1" ht="36" customHeight="1" x14ac:dyDescent="0.9">
      <c r="A1049" s="173">
        <v>1</v>
      </c>
      <c r="B1049" s="91">
        <f>SUBTOTAL(103,$A$957:A1049)</f>
        <v>91</v>
      </c>
      <c r="C1049" s="90" t="s">
        <v>447</v>
      </c>
      <c r="D1049" s="185">
        <v>1943</v>
      </c>
      <c r="E1049" s="185"/>
      <c r="F1049" s="191" t="s">
        <v>273</v>
      </c>
      <c r="G1049" s="185">
        <v>2</v>
      </c>
      <c r="H1049" s="185">
        <v>2</v>
      </c>
      <c r="I1049" s="186">
        <v>715.9</v>
      </c>
      <c r="J1049" s="186">
        <v>646.9</v>
      </c>
      <c r="K1049" s="186">
        <v>547.55999999999995</v>
      </c>
      <c r="L1049" s="187">
        <v>35</v>
      </c>
      <c r="M1049" s="185" t="s">
        <v>271</v>
      </c>
      <c r="N1049" s="185" t="s">
        <v>275</v>
      </c>
      <c r="O1049" s="188" t="s">
        <v>333</v>
      </c>
      <c r="P1049" s="189">
        <v>3073377.74</v>
      </c>
      <c r="Q1049" s="189">
        <v>0</v>
      </c>
      <c r="R1049" s="189">
        <v>0</v>
      </c>
      <c r="S1049" s="189">
        <f t="shared" si="167"/>
        <v>3073377.74</v>
      </c>
      <c r="T1049" s="189">
        <f t="shared" si="168"/>
        <v>4293.0265958932814</v>
      </c>
      <c r="U1049" s="189">
        <f t="shared" si="169"/>
        <v>4376.4212878893704</v>
      </c>
      <c r="V1049" s="170">
        <f t="shared" si="163"/>
        <v>83.394691996089023</v>
      </c>
      <c r="W1049" s="170"/>
      <c r="X1049" s="170"/>
      <c r="Y1049" s="173">
        <f t="shared" si="164"/>
        <v>4376.4212878893704</v>
      </c>
      <c r="AA1049" s="173">
        <f t="shared" si="159"/>
        <v>600</v>
      </c>
      <c r="AH1049" s="173" t="e">
        <f t="shared" si="160"/>
        <v>#N/A</v>
      </c>
      <c r="AS1049" s="173" t="e">
        <f t="shared" si="161"/>
        <v>#N/A</v>
      </c>
    </row>
    <row r="1050" spans="1:45" s="173" customFormat="1" ht="36" customHeight="1" x14ac:dyDescent="0.9">
      <c r="A1050" s="173">
        <v>1</v>
      </c>
      <c r="B1050" s="91">
        <f>SUBTOTAL(103,$A$957:A1050)</f>
        <v>92</v>
      </c>
      <c r="C1050" s="90" t="s">
        <v>448</v>
      </c>
      <c r="D1050" s="185">
        <v>1917</v>
      </c>
      <c r="E1050" s="185"/>
      <c r="F1050" s="191" t="s">
        <v>338</v>
      </c>
      <c r="G1050" s="185">
        <v>2</v>
      </c>
      <c r="H1050" s="185">
        <v>2</v>
      </c>
      <c r="I1050" s="186">
        <v>643.4</v>
      </c>
      <c r="J1050" s="186">
        <v>521.79999999999995</v>
      </c>
      <c r="K1050" s="186">
        <v>423.09999999999997</v>
      </c>
      <c r="L1050" s="187">
        <v>21</v>
      </c>
      <c r="M1050" s="185" t="s">
        <v>271</v>
      </c>
      <c r="N1050" s="185" t="s">
        <v>275</v>
      </c>
      <c r="O1050" s="188" t="s">
        <v>329</v>
      </c>
      <c r="P1050" s="189">
        <v>1665415</v>
      </c>
      <c r="Q1050" s="189">
        <v>0</v>
      </c>
      <c r="R1050" s="189">
        <v>0</v>
      </c>
      <c r="S1050" s="189">
        <f t="shared" si="167"/>
        <v>1665415</v>
      </c>
      <c r="T1050" s="189">
        <f t="shared" si="168"/>
        <v>2588.4597451041345</v>
      </c>
      <c r="U1050" s="189">
        <f t="shared" si="169"/>
        <v>2994.7842710599939</v>
      </c>
      <c r="V1050" s="170">
        <f t="shared" si="163"/>
        <v>406.32452595585937</v>
      </c>
      <c r="W1050" s="170"/>
      <c r="X1050" s="170"/>
      <c r="Y1050" s="173">
        <f t="shared" si="164"/>
        <v>2994.7842710599939</v>
      </c>
      <c r="AA1050" s="173">
        <f t="shared" si="159"/>
        <v>369</v>
      </c>
      <c r="AH1050" s="173" t="e">
        <f t="shared" si="160"/>
        <v>#N/A</v>
      </c>
      <c r="AS1050" s="173" t="e">
        <f t="shared" si="161"/>
        <v>#N/A</v>
      </c>
    </row>
    <row r="1051" spans="1:45" s="173" customFormat="1" ht="36" customHeight="1" x14ac:dyDescent="0.9">
      <c r="A1051" s="173">
        <v>1</v>
      </c>
      <c r="B1051" s="91">
        <f>SUBTOTAL(103,$A$957:A1051)</f>
        <v>93</v>
      </c>
      <c r="C1051" s="90" t="s">
        <v>214</v>
      </c>
      <c r="D1051" s="185">
        <v>1967</v>
      </c>
      <c r="E1051" s="185"/>
      <c r="F1051" s="191" t="s">
        <v>273</v>
      </c>
      <c r="G1051" s="185">
        <v>2</v>
      </c>
      <c r="H1051" s="185">
        <v>2</v>
      </c>
      <c r="I1051" s="186">
        <v>678.4</v>
      </c>
      <c r="J1051" s="186">
        <v>629.79999999999995</v>
      </c>
      <c r="K1051" s="186">
        <v>589.79999999999995</v>
      </c>
      <c r="L1051" s="187">
        <v>37</v>
      </c>
      <c r="M1051" s="185" t="s">
        <v>271</v>
      </c>
      <c r="N1051" s="185" t="s">
        <v>275</v>
      </c>
      <c r="O1051" s="188" t="s">
        <v>335</v>
      </c>
      <c r="P1051" s="189">
        <v>2384110.7700000005</v>
      </c>
      <c r="Q1051" s="189">
        <v>0</v>
      </c>
      <c r="R1051" s="189">
        <v>0</v>
      </c>
      <c r="S1051" s="189">
        <f t="shared" si="167"/>
        <v>2384110.7700000005</v>
      </c>
      <c r="T1051" s="189">
        <f t="shared" si="168"/>
        <v>3514.3142246462271</v>
      </c>
      <c r="U1051" s="189">
        <f t="shared" si="169"/>
        <v>4041.0451061320755</v>
      </c>
      <c r="V1051" s="170">
        <f t="shared" si="163"/>
        <v>526.73088148584839</v>
      </c>
      <c r="W1051" s="170"/>
      <c r="X1051" s="170"/>
      <c r="Y1051" s="173">
        <f t="shared" si="164"/>
        <v>4041.0451061320755</v>
      </c>
      <c r="AA1051" s="173">
        <f t="shared" si="159"/>
        <v>525</v>
      </c>
      <c r="AH1051" s="173" t="e">
        <f t="shared" si="160"/>
        <v>#N/A</v>
      </c>
      <c r="AS1051" s="173" t="e">
        <f t="shared" si="161"/>
        <v>#N/A</v>
      </c>
    </row>
    <row r="1052" spans="1:45" s="173" customFormat="1" ht="36" customHeight="1" x14ac:dyDescent="0.9">
      <c r="A1052" s="173">
        <v>1</v>
      </c>
      <c r="B1052" s="91">
        <f>SUBTOTAL(103,$A$957:A1052)</f>
        <v>94</v>
      </c>
      <c r="C1052" s="90" t="s">
        <v>213</v>
      </c>
      <c r="D1052" s="185">
        <v>1975</v>
      </c>
      <c r="E1052" s="185"/>
      <c r="F1052" s="191" t="s">
        <v>273</v>
      </c>
      <c r="G1052" s="185">
        <v>2</v>
      </c>
      <c r="H1052" s="185">
        <v>2</v>
      </c>
      <c r="I1052" s="186">
        <v>817.4</v>
      </c>
      <c r="J1052" s="186">
        <v>756.3</v>
      </c>
      <c r="K1052" s="186">
        <v>652</v>
      </c>
      <c r="L1052" s="187">
        <v>43</v>
      </c>
      <c r="M1052" s="185" t="s">
        <v>271</v>
      </c>
      <c r="N1052" s="185" t="s">
        <v>275</v>
      </c>
      <c r="O1052" s="188" t="s">
        <v>335</v>
      </c>
      <c r="P1052" s="189">
        <v>2817533.3499999996</v>
      </c>
      <c r="Q1052" s="189">
        <v>0</v>
      </c>
      <c r="R1052" s="189">
        <v>0</v>
      </c>
      <c r="S1052" s="189">
        <f t="shared" si="167"/>
        <v>2817533.3499999996</v>
      </c>
      <c r="T1052" s="189">
        <f t="shared" si="168"/>
        <v>3446.9456202593587</v>
      </c>
      <c r="U1052" s="189">
        <f t="shared" si="169"/>
        <v>3922.4188891607541</v>
      </c>
      <c r="V1052" s="170">
        <f t="shared" si="163"/>
        <v>475.47326890139539</v>
      </c>
      <c r="W1052" s="170"/>
      <c r="X1052" s="170"/>
      <c r="Y1052" s="173">
        <f t="shared" si="164"/>
        <v>3922.4188891607541</v>
      </c>
      <c r="AA1052" s="173">
        <f t="shared" ref="AA1052:AA1115" si="170">VLOOKUP(C1052,AC:AE,2,FALSE)</f>
        <v>614</v>
      </c>
      <c r="AH1052" s="173" t="e">
        <f t="shared" ref="AH1052:AH1115" si="171">VLOOKUP(C1052,AJ:AK,2,FALSE)</f>
        <v>#N/A</v>
      </c>
      <c r="AS1052" s="173" t="e">
        <f t="shared" ref="AS1052:AS1115" si="172">VLOOKUP(C1052,AU:AV,2,FALSE)</f>
        <v>#N/A</v>
      </c>
    </row>
    <row r="1053" spans="1:45" s="173" customFormat="1" ht="36" customHeight="1" x14ac:dyDescent="0.9">
      <c r="A1053" s="173">
        <v>1</v>
      </c>
      <c r="B1053" s="91">
        <f>SUBTOTAL(103,$A$957:A1053)</f>
        <v>95</v>
      </c>
      <c r="C1053" s="90" t="s">
        <v>450</v>
      </c>
      <c r="D1053" s="185">
        <v>1950</v>
      </c>
      <c r="E1053" s="185"/>
      <c r="F1053" s="191" t="s">
        <v>273</v>
      </c>
      <c r="G1053" s="185">
        <v>2</v>
      </c>
      <c r="H1053" s="185">
        <v>1</v>
      </c>
      <c r="I1053" s="186">
        <v>411.15</v>
      </c>
      <c r="J1053" s="186">
        <v>369.45</v>
      </c>
      <c r="K1053" s="186">
        <v>369.45</v>
      </c>
      <c r="L1053" s="187">
        <v>17</v>
      </c>
      <c r="M1053" s="185" t="s">
        <v>271</v>
      </c>
      <c r="N1053" s="185" t="s">
        <v>275</v>
      </c>
      <c r="O1053" s="188" t="s">
        <v>329</v>
      </c>
      <c r="P1053" s="189">
        <v>1660239.97</v>
      </c>
      <c r="Q1053" s="189">
        <v>0</v>
      </c>
      <c r="R1053" s="189">
        <v>0</v>
      </c>
      <c r="S1053" s="189">
        <f t="shared" si="167"/>
        <v>1660239.97</v>
      </c>
      <c r="T1053" s="189">
        <f t="shared" si="168"/>
        <v>4038.0395719323851</v>
      </c>
      <c r="U1053" s="189">
        <f>Y1053</f>
        <v>4699.1754834002195</v>
      </c>
      <c r="V1053" s="170">
        <f t="shared" si="163"/>
        <v>661.13591146783438</v>
      </c>
      <c r="W1053" s="170"/>
      <c r="X1053" s="170"/>
      <c r="Y1053" s="173">
        <f t="shared" si="164"/>
        <v>4699.1754834002195</v>
      </c>
      <c r="AA1053" s="173">
        <f t="shared" si="170"/>
        <v>370</v>
      </c>
      <c r="AH1053" s="173" t="e">
        <f t="shared" si="171"/>
        <v>#N/A</v>
      </c>
      <c r="AS1053" s="173" t="e">
        <f t="shared" si="172"/>
        <v>#N/A</v>
      </c>
    </row>
    <row r="1054" spans="1:45" s="173" customFormat="1" ht="36" customHeight="1" x14ac:dyDescent="0.9">
      <c r="A1054" s="173">
        <v>1</v>
      </c>
      <c r="B1054" s="91">
        <f>SUBTOTAL(103,$A$957:A1054)</f>
        <v>96</v>
      </c>
      <c r="C1054" s="90" t="s">
        <v>451</v>
      </c>
      <c r="D1054" s="185">
        <v>1966</v>
      </c>
      <c r="E1054" s="185"/>
      <c r="F1054" s="191" t="s">
        <v>273</v>
      </c>
      <c r="G1054" s="185">
        <v>2</v>
      </c>
      <c r="H1054" s="185">
        <v>2</v>
      </c>
      <c r="I1054" s="186">
        <v>667.6</v>
      </c>
      <c r="J1054" s="186">
        <v>626.5</v>
      </c>
      <c r="K1054" s="186">
        <v>586.70000000000005</v>
      </c>
      <c r="L1054" s="187">
        <v>37</v>
      </c>
      <c r="M1054" s="185" t="s">
        <v>271</v>
      </c>
      <c r="N1054" s="185" t="s">
        <v>275</v>
      </c>
      <c r="O1054" s="188" t="s">
        <v>335</v>
      </c>
      <c r="P1054" s="189">
        <v>2407235.63</v>
      </c>
      <c r="Q1054" s="189">
        <v>0</v>
      </c>
      <c r="R1054" s="189">
        <v>0</v>
      </c>
      <c r="S1054" s="189">
        <f t="shared" si="167"/>
        <v>2407235.63</v>
      </c>
      <c r="T1054" s="189">
        <f t="shared" si="168"/>
        <v>3605.8053175554223</v>
      </c>
      <c r="U1054" s="189">
        <f>Y1054</f>
        <v>4145.5272618334329</v>
      </c>
      <c r="V1054" s="170">
        <f t="shared" si="163"/>
        <v>539.7219442780106</v>
      </c>
      <c r="W1054" s="170"/>
      <c r="X1054" s="170"/>
      <c r="Y1054" s="173">
        <f t="shared" si="164"/>
        <v>4145.5272618334329</v>
      </c>
      <c r="AA1054" s="173">
        <f t="shared" si="170"/>
        <v>530</v>
      </c>
      <c r="AH1054" s="173" t="e">
        <f t="shared" si="171"/>
        <v>#N/A</v>
      </c>
      <c r="AS1054" s="173" t="e">
        <f t="shared" si="172"/>
        <v>#N/A</v>
      </c>
    </row>
    <row r="1055" spans="1:45" s="173" customFormat="1" ht="36" customHeight="1" x14ac:dyDescent="0.9">
      <c r="A1055" s="173">
        <v>1</v>
      </c>
      <c r="B1055" s="91">
        <f>SUBTOTAL(103,$A$957:A1055)</f>
        <v>97</v>
      </c>
      <c r="C1055" s="90" t="s">
        <v>452</v>
      </c>
      <c r="D1055" s="185">
        <v>1977</v>
      </c>
      <c r="E1055" s="185"/>
      <c r="F1055" s="191" t="s">
        <v>273</v>
      </c>
      <c r="G1055" s="185">
        <v>9</v>
      </c>
      <c r="H1055" s="185">
        <v>1</v>
      </c>
      <c r="I1055" s="186">
        <v>2576</v>
      </c>
      <c r="J1055" s="186">
        <v>2212.6999999999998</v>
      </c>
      <c r="K1055" s="186">
        <v>2123.6999999999998</v>
      </c>
      <c r="L1055" s="187">
        <v>106</v>
      </c>
      <c r="M1055" s="185" t="s">
        <v>271</v>
      </c>
      <c r="N1055" s="185" t="s">
        <v>275</v>
      </c>
      <c r="O1055" s="188" t="s">
        <v>335</v>
      </c>
      <c r="P1055" s="189">
        <v>1790689.27</v>
      </c>
      <c r="Q1055" s="189">
        <v>0</v>
      </c>
      <c r="R1055" s="189">
        <v>0</v>
      </c>
      <c r="S1055" s="189">
        <f t="shared" si="167"/>
        <v>1790689.27</v>
      </c>
      <c r="T1055" s="189">
        <f t="shared" si="168"/>
        <v>695.14335015527956</v>
      </c>
      <c r="U1055" s="189">
        <f>Y1055</f>
        <v>802.7301242236025</v>
      </c>
      <c r="V1055" s="170">
        <f t="shared" si="163"/>
        <v>107.58677406832294</v>
      </c>
      <c r="W1055" s="170"/>
      <c r="X1055" s="170"/>
      <c r="Y1055" s="173">
        <f t="shared" si="164"/>
        <v>802.7301242236025</v>
      </c>
      <c r="AA1055" s="173">
        <f t="shared" si="170"/>
        <v>396</v>
      </c>
      <c r="AH1055" s="173" t="e">
        <f t="shared" si="171"/>
        <v>#N/A</v>
      </c>
      <c r="AS1055" s="173" t="e">
        <f t="shared" si="172"/>
        <v>#N/A</v>
      </c>
    </row>
    <row r="1056" spans="1:45" s="173" customFormat="1" ht="36" customHeight="1" x14ac:dyDescent="0.9">
      <c r="A1056" s="173">
        <v>1</v>
      </c>
      <c r="B1056" s="91">
        <f>SUBTOTAL(103,$A$957:A1056)</f>
        <v>98</v>
      </c>
      <c r="C1056" s="90" t="s">
        <v>839</v>
      </c>
      <c r="D1056" s="185">
        <v>1988</v>
      </c>
      <c r="E1056" s="185"/>
      <c r="F1056" s="191" t="s">
        <v>273</v>
      </c>
      <c r="G1056" s="185">
        <v>9</v>
      </c>
      <c r="H1056" s="185">
        <v>3</v>
      </c>
      <c r="I1056" s="186">
        <v>6719</v>
      </c>
      <c r="J1056" s="186">
        <v>5795.4</v>
      </c>
      <c r="K1056" s="186">
        <v>5264.2</v>
      </c>
      <c r="L1056" s="187">
        <v>304</v>
      </c>
      <c r="M1056" s="185" t="s">
        <v>271</v>
      </c>
      <c r="N1056" s="185" t="s">
        <v>275</v>
      </c>
      <c r="O1056" s="188" t="s">
        <v>1013</v>
      </c>
      <c r="P1056" s="189">
        <v>6300000</v>
      </c>
      <c r="Q1056" s="189">
        <v>0</v>
      </c>
      <c r="R1056" s="189">
        <v>0</v>
      </c>
      <c r="S1056" s="189">
        <f t="shared" si="167"/>
        <v>6300000</v>
      </c>
      <c r="T1056" s="189">
        <f t="shared" si="168"/>
        <v>937.63952969191848</v>
      </c>
      <c r="U1056" s="189">
        <f>AR1056</f>
        <v>985.59889864563183</v>
      </c>
      <c r="V1056" s="170">
        <f t="shared" si="163"/>
        <v>47.959368953713351</v>
      </c>
      <c r="W1056" s="170"/>
      <c r="X1056" s="170"/>
      <c r="Y1056" s="173" t="e">
        <f t="shared" si="164"/>
        <v>#N/A</v>
      </c>
      <c r="AA1056" s="173" t="e">
        <f t="shared" si="170"/>
        <v>#N/A</v>
      </c>
      <c r="AH1056" s="173" t="e">
        <f t="shared" si="171"/>
        <v>#N/A</v>
      </c>
      <c r="AR1056" s="173">
        <f>AS1056*2207413/I1056</f>
        <v>985.59889864563183</v>
      </c>
      <c r="AS1056" s="173">
        <f t="shared" si="172"/>
        <v>3</v>
      </c>
    </row>
    <row r="1057" spans="1:45" s="173" customFormat="1" ht="36" customHeight="1" x14ac:dyDescent="0.9">
      <c r="B1057" s="90" t="s">
        <v>806</v>
      </c>
      <c r="C1057" s="90"/>
      <c r="D1057" s="185" t="s">
        <v>915</v>
      </c>
      <c r="E1057" s="185" t="s">
        <v>915</v>
      </c>
      <c r="F1057" s="185" t="s">
        <v>915</v>
      </c>
      <c r="G1057" s="185" t="s">
        <v>915</v>
      </c>
      <c r="H1057" s="185" t="s">
        <v>915</v>
      </c>
      <c r="I1057" s="186">
        <f>SUM(I1058:I1068)</f>
        <v>28484.610000000004</v>
      </c>
      <c r="J1057" s="186">
        <f>SUM(J1058:J1068)</f>
        <v>20082.5</v>
      </c>
      <c r="K1057" s="186">
        <f>SUM(K1058:K1068)</f>
        <v>19493.600000000002</v>
      </c>
      <c r="L1057" s="187">
        <f>SUM(L1058:L1068)</f>
        <v>850</v>
      </c>
      <c r="M1057" s="185" t="s">
        <v>915</v>
      </c>
      <c r="N1057" s="185" t="s">
        <v>915</v>
      </c>
      <c r="O1057" s="188" t="s">
        <v>915</v>
      </c>
      <c r="P1057" s="186">
        <v>45011140.729999997</v>
      </c>
      <c r="Q1057" s="186">
        <f>SUM(Q1058:Q1068)</f>
        <v>0</v>
      </c>
      <c r="R1057" s="186">
        <f>SUM(R1058:R1068)</f>
        <v>0</v>
      </c>
      <c r="S1057" s="186">
        <f>SUM(S1058:S1068)</f>
        <v>45011140.729999997</v>
      </c>
      <c r="T1057" s="189">
        <f t="shared" si="168"/>
        <v>1580.1915746783961</v>
      </c>
      <c r="U1057" s="189">
        <f>MAX(U1058:U1068)</f>
        <v>7752.5092173913044</v>
      </c>
      <c r="V1057" s="170">
        <f t="shared" si="163"/>
        <v>6172.3176427129083</v>
      </c>
      <c r="W1057" s="170"/>
      <c r="X1057" s="170"/>
      <c r="Y1057" s="173" t="e">
        <f t="shared" si="164"/>
        <v>#N/A</v>
      </c>
      <c r="AA1057" s="173" t="e">
        <f t="shared" si="170"/>
        <v>#N/A</v>
      </c>
      <c r="AH1057" s="173" t="e">
        <f t="shared" si="171"/>
        <v>#N/A</v>
      </c>
      <c r="AS1057" s="173" t="e">
        <f t="shared" si="172"/>
        <v>#N/A</v>
      </c>
    </row>
    <row r="1058" spans="1:45" s="173" customFormat="1" ht="36" customHeight="1" x14ac:dyDescent="0.9">
      <c r="A1058" s="173">
        <v>1</v>
      </c>
      <c r="B1058" s="91">
        <f>SUBTOTAL(103,$A$957:A1058)</f>
        <v>99</v>
      </c>
      <c r="C1058" s="90" t="s">
        <v>807</v>
      </c>
      <c r="D1058" s="185">
        <v>1961</v>
      </c>
      <c r="E1058" s="185"/>
      <c r="F1058" s="191" t="s">
        <v>273</v>
      </c>
      <c r="G1058" s="185">
        <v>3</v>
      </c>
      <c r="H1058" s="185">
        <v>2</v>
      </c>
      <c r="I1058" s="186">
        <v>1044</v>
      </c>
      <c r="J1058" s="186">
        <v>968.1</v>
      </c>
      <c r="K1058" s="186">
        <v>968.1</v>
      </c>
      <c r="L1058" s="187">
        <v>46</v>
      </c>
      <c r="M1058" s="185" t="s">
        <v>271</v>
      </c>
      <c r="N1058" s="185" t="s">
        <v>275</v>
      </c>
      <c r="O1058" s="188" t="s">
        <v>826</v>
      </c>
      <c r="P1058" s="189">
        <v>2532230.7999999998</v>
      </c>
      <c r="Q1058" s="189">
        <v>0</v>
      </c>
      <c r="R1058" s="189">
        <v>0</v>
      </c>
      <c r="S1058" s="189">
        <f t="shared" ref="S1058:S1068" si="173">P1058-Q1058-R1058</f>
        <v>2532230.7999999998</v>
      </c>
      <c r="T1058" s="189">
        <f t="shared" si="168"/>
        <v>2425.5084291187736</v>
      </c>
      <c r="U1058" s="189">
        <f>Y1058</f>
        <v>2530.8724137931035</v>
      </c>
      <c r="V1058" s="170">
        <f t="shared" si="163"/>
        <v>105.36398467432991</v>
      </c>
      <c r="W1058" s="170"/>
      <c r="X1058" s="170"/>
      <c r="Y1058" s="173">
        <f t="shared" si="164"/>
        <v>2530.8724137931035</v>
      </c>
      <c r="AA1058" s="173">
        <f t="shared" si="170"/>
        <v>506</v>
      </c>
      <c r="AH1058" s="173" t="e">
        <f t="shared" si="171"/>
        <v>#N/A</v>
      </c>
      <c r="AS1058" s="173" t="e">
        <f t="shared" si="172"/>
        <v>#N/A</v>
      </c>
    </row>
    <row r="1059" spans="1:45" s="173" customFormat="1" ht="36" customHeight="1" x14ac:dyDescent="0.9">
      <c r="A1059" s="173">
        <v>1</v>
      </c>
      <c r="B1059" s="91">
        <f>SUBTOTAL(103,$A$957:A1059)</f>
        <v>100</v>
      </c>
      <c r="C1059" s="90" t="s">
        <v>808</v>
      </c>
      <c r="D1059" s="185">
        <v>1960</v>
      </c>
      <c r="E1059" s="185"/>
      <c r="F1059" s="191" t="s">
        <v>273</v>
      </c>
      <c r="G1059" s="185">
        <v>2</v>
      </c>
      <c r="H1059" s="185">
        <v>2</v>
      </c>
      <c r="I1059" s="186">
        <v>711.5</v>
      </c>
      <c r="J1059" s="186">
        <v>515.1</v>
      </c>
      <c r="K1059" s="186">
        <v>515.1</v>
      </c>
      <c r="L1059" s="187">
        <v>13</v>
      </c>
      <c r="M1059" s="185" t="s">
        <v>271</v>
      </c>
      <c r="N1059" s="185" t="s">
        <v>272</v>
      </c>
      <c r="O1059" s="188" t="s">
        <v>274</v>
      </c>
      <c r="P1059" s="189">
        <v>2386020.4</v>
      </c>
      <c r="Q1059" s="189">
        <v>0</v>
      </c>
      <c r="R1059" s="189">
        <v>0</v>
      </c>
      <c r="S1059" s="189">
        <f t="shared" si="173"/>
        <v>2386020.4</v>
      </c>
      <c r="T1059" s="189">
        <f t="shared" si="168"/>
        <v>3353.5072382290932</v>
      </c>
      <c r="U1059" s="189">
        <f>Y1059</f>
        <v>3508.1101897399858</v>
      </c>
      <c r="V1059" s="170">
        <f t="shared" si="163"/>
        <v>154.60295151089258</v>
      </c>
      <c r="W1059" s="170"/>
      <c r="X1059" s="170"/>
      <c r="Y1059" s="173">
        <f t="shared" si="164"/>
        <v>3508.1101897399858</v>
      </c>
      <c r="AA1059" s="173">
        <f t="shared" si="170"/>
        <v>478</v>
      </c>
      <c r="AH1059" s="173" t="e">
        <f t="shared" si="171"/>
        <v>#N/A</v>
      </c>
      <c r="AS1059" s="173" t="e">
        <f t="shared" si="172"/>
        <v>#N/A</v>
      </c>
    </row>
    <row r="1060" spans="1:45" s="173" customFormat="1" ht="36" customHeight="1" x14ac:dyDescent="0.9">
      <c r="A1060" s="173">
        <v>1</v>
      </c>
      <c r="B1060" s="91">
        <f>SUBTOTAL(103,$A$957:A1060)</f>
        <v>101</v>
      </c>
      <c r="C1060" s="90" t="s">
        <v>1104</v>
      </c>
      <c r="D1060" s="185">
        <v>1962</v>
      </c>
      <c r="E1060" s="185"/>
      <c r="F1060" s="191" t="s">
        <v>273</v>
      </c>
      <c r="G1060" s="185">
        <v>4</v>
      </c>
      <c r="H1060" s="185">
        <v>2</v>
      </c>
      <c r="I1060" s="186">
        <v>1321.3</v>
      </c>
      <c r="J1060" s="186">
        <v>1280</v>
      </c>
      <c r="K1060" s="186">
        <v>975</v>
      </c>
      <c r="L1060" s="187">
        <v>60</v>
      </c>
      <c r="M1060" s="185" t="s">
        <v>271</v>
      </c>
      <c r="N1060" s="185" t="s">
        <v>275</v>
      </c>
      <c r="O1060" s="188" t="s">
        <v>830</v>
      </c>
      <c r="P1060" s="189">
        <v>3009600</v>
      </c>
      <c r="Q1060" s="189">
        <v>0</v>
      </c>
      <c r="R1060" s="189">
        <v>0</v>
      </c>
      <c r="S1060" s="189">
        <f t="shared" si="173"/>
        <v>3009600</v>
      </c>
      <c r="T1060" s="189">
        <f t="shared" si="168"/>
        <v>2277.7567547112694</v>
      </c>
      <c r="U1060" s="189">
        <f>Y1060</f>
        <v>2477.9146295315222</v>
      </c>
      <c r="V1060" s="170">
        <f t="shared" ref="V1060:V1124" si="174">U1060-T1060</f>
        <v>200.1578748202528</v>
      </c>
      <c r="W1060" s="170"/>
      <c r="X1060" s="170"/>
      <c r="Y1060" s="173">
        <f t="shared" ref="Y1060:Y1124" si="175">AA1060*5221.8/I1060</f>
        <v>2477.9146295315222</v>
      </c>
      <c r="AA1060" s="173">
        <f t="shared" si="170"/>
        <v>627</v>
      </c>
      <c r="AH1060" s="173" t="e">
        <f t="shared" si="171"/>
        <v>#N/A</v>
      </c>
      <c r="AS1060" s="173" t="e">
        <f t="shared" si="172"/>
        <v>#N/A</v>
      </c>
    </row>
    <row r="1061" spans="1:45" s="173" customFormat="1" ht="36" customHeight="1" x14ac:dyDescent="0.9">
      <c r="A1061" s="173">
        <v>1</v>
      </c>
      <c r="B1061" s="91">
        <f>SUBTOTAL(103,$A$957:A1061)</f>
        <v>102</v>
      </c>
      <c r="C1061" s="90" t="s">
        <v>810</v>
      </c>
      <c r="D1061" s="185">
        <v>1991</v>
      </c>
      <c r="E1061" s="185"/>
      <c r="F1061" s="191" t="s">
        <v>326</v>
      </c>
      <c r="G1061" s="185">
        <v>9</v>
      </c>
      <c r="H1061" s="185">
        <v>4</v>
      </c>
      <c r="I1061" s="186">
        <v>10990.1</v>
      </c>
      <c r="J1061" s="186">
        <v>7793.3</v>
      </c>
      <c r="K1061" s="186">
        <v>7793.3</v>
      </c>
      <c r="L1061" s="187">
        <v>318</v>
      </c>
      <c r="M1061" s="185" t="s">
        <v>271</v>
      </c>
      <c r="N1061" s="185" t="s">
        <v>275</v>
      </c>
      <c r="O1061" s="188" t="s">
        <v>832</v>
      </c>
      <c r="P1061" s="189">
        <v>8452796.0600000005</v>
      </c>
      <c r="Q1061" s="189">
        <v>0</v>
      </c>
      <c r="R1061" s="189">
        <v>0</v>
      </c>
      <c r="S1061" s="189">
        <f t="shared" si="173"/>
        <v>8452796.0600000005</v>
      </c>
      <c r="T1061" s="189">
        <f t="shared" si="168"/>
        <v>769.12822085331345</v>
      </c>
      <c r="U1061" s="189">
        <f>AR1061</f>
        <v>803.41871320552127</v>
      </c>
      <c r="V1061" s="170">
        <f t="shared" si="174"/>
        <v>34.290492352207821</v>
      </c>
      <c r="W1061" s="170"/>
      <c r="X1061" s="170"/>
      <c r="Y1061" s="173" t="e">
        <f t="shared" si="175"/>
        <v>#N/A</v>
      </c>
      <c r="AA1061" s="173" t="e">
        <f t="shared" si="170"/>
        <v>#N/A</v>
      </c>
      <c r="AH1061" s="173" t="e">
        <f t="shared" si="171"/>
        <v>#N/A</v>
      </c>
      <c r="AR1061" s="173">
        <f>AS1061*2207413/I1061</f>
        <v>803.41871320552127</v>
      </c>
      <c r="AS1061" s="173">
        <f t="shared" si="172"/>
        <v>4</v>
      </c>
    </row>
    <row r="1062" spans="1:45" s="173" customFormat="1" ht="36" customHeight="1" x14ac:dyDescent="0.9">
      <c r="A1062" s="173">
        <v>1</v>
      </c>
      <c r="B1062" s="91">
        <f>SUBTOTAL(103,$A$957:A1062)</f>
        <v>103</v>
      </c>
      <c r="C1062" s="90" t="s">
        <v>812</v>
      </c>
      <c r="D1062" s="185">
        <v>1937</v>
      </c>
      <c r="E1062" s="185"/>
      <c r="F1062" s="191" t="s">
        <v>273</v>
      </c>
      <c r="G1062" s="185">
        <v>3</v>
      </c>
      <c r="H1062" s="185">
        <v>4</v>
      </c>
      <c r="I1062" s="186">
        <v>2758</v>
      </c>
      <c r="J1062" s="186">
        <v>1462.7</v>
      </c>
      <c r="K1062" s="186">
        <v>1347.2</v>
      </c>
      <c r="L1062" s="187">
        <v>62</v>
      </c>
      <c r="M1062" s="185" t="s">
        <v>271</v>
      </c>
      <c r="N1062" s="185" t="s">
        <v>275</v>
      </c>
      <c r="O1062" s="188" t="s">
        <v>830</v>
      </c>
      <c r="P1062" s="189">
        <v>6961648</v>
      </c>
      <c r="Q1062" s="189">
        <v>0</v>
      </c>
      <c r="R1062" s="189">
        <v>0</v>
      </c>
      <c r="S1062" s="189">
        <f t="shared" si="173"/>
        <v>6961648</v>
      </c>
      <c r="T1062" s="189">
        <f t="shared" si="168"/>
        <v>2524.16533720087</v>
      </c>
      <c r="U1062" s="189">
        <f>Y1062</f>
        <v>2574.9267585206671</v>
      </c>
      <c r="V1062" s="170">
        <f t="shared" si="174"/>
        <v>50.761421319797137</v>
      </c>
      <c r="W1062" s="170"/>
      <c r="X1062" s="170"/>
      <c r="Y1062" s="173">
        <f t="shared" si="175"/>
        <v>2574.9267585206671</v>
      </c>
      <c r="AA1062" s="173">
        <f t="shared" si="170"/>
        <v>1360</v>
      </c>
      <c r="AH1062" s="173" t="e">
        <f t="shared" si="171"/>
        <v>#N/A</v>
      </c>
      <c r="AS1062" s="173" t="e">
        <f t="shared" si="172"/>
        <v>#N/A</v>
      </c>
    </row>
    <row r="1063" spans="1:45" s="173" customFormat="1" ht="36" customHeight="1" x14ac:dyDescent="0.9">
      <c r="A1063" s="173">
        <v>1</v>
      </c>
      <c r="B1063" s="91">
        <f>SUBTOTAL(103,$A$957:A1063)</f>
        <v>104</v>
      </c>
      <c r="C1063" s="90" t="s">
        <v>813</v>
      </c>
      <c r="D1063" s="185">
        <v>1959</v>
      </c>
      <c r="E1063" s="185"/>
      <c r="F1063" s="191" t="s">
        <v>273</v>
      </c>
      <c r="G1063" s="185">
        <v>4</v>
      </c>
      <c r="H1063" s="185">
        <v>2</v>
      </c>
      <c r="I1063" s="186">
        <v>1352</v>
      </c>
      <c r="J1063" s="186">
        <v>809</v>
      </c>
      <c r="K1063" s="186">
        <v>809</v>
      </c>
      <c r="L1063" s="187">
        <v>67</v>
      </c>
      <c r="M1063" s="185" t="s">
        <v>271</v>
      </c>
      <c r="N1063" s="185" t="s">
        <v>275</v>
      </c>
      <c r="O1063" s="188" t="s">
        <v>830</v>
      </c>
      <c r="P1063" s="189">
        <v>3278948.1999999997</v>
      </c>
      <c r="Q1063" s="189">
        <v>0</v>
      </c>
      <c r="R1063" s="189">
        <v>0</v>
      </c>
      <c r="S1063" s="189">
        <f t="shared" si="173"/>
        <v>3278948.1999999997</v>
      </c>
      <c r="T1063" s="189">
        <f t="shared" si="168"/>
        <v>2425.2575443786982</v>
      </c>
      <c r="U1063" s="189">
        <f>Y1063</f>
        <v>2506.6184911242603</v>
      </c>
      <c r="V1063" s="170">
        <f t="shared" si="174"/>
        <v>81.36094674556216</v>
      </c>
      <c r="W1063" s="170"/>
      <c r="X1063" s="170"/>
      <c r="Y1063" s="173">
        <f t="shared" si="175"/>
        <v>2506.6184911242603</v>
      </c>
      <c r="AA1063" s="173">
        <f t="shared" si="170"/>
        <v>649</v>
      </c>
      <c r="AH1063" s="173" t="e">
        <f t="shared" si="171"/>
        <v>#N/A</v>
      </c>
      <c r="AS1063" s="173" t="e">
        <f t="shared" si="172"/>
        <v>#N/A</v>
      </c>
    </row>
    <row r="1064" spans="1:45" s="173" customFormat="1" ht="36" customHeight="1" x14ac:dyDescent="0.9">
      <c r="A1064" s="173">
        <v>1</v>
      </c>
      <c r="B1064" s="91">
        <f>SUBTOTAL(103,$A$957:A1064)</f>
        <v>105</v>
      </c>
      <c r="C1064" s="90" t="s">
        <v>814</v>
      </c>
      <c r="D1064" s="185">
        <v>1965</v>
      </c>
      <c r="E1064" s="185"/>
      <c r="F1064" s="191" t="s">
        <v>273</v>
      </c>
      <c r="G1064" s="185">
        <v>5</v>
      </c>
      <c r="H1064" s="185">
        <v>2</v>
      </c>
      <c r="I1064" s="186">
        <v>2042.45</v>
      </c>
      <c r="J1064" s="186">
        <v>1565</v>
      </c>
      <c r="K1064" s="186">
        <v>1565</v>
      </c>
      <c r="L1064" s="187">
        <v>65</v>
      </c>
      <c r="M1064" s="185" t="s">
        <v>271</v>
      </c>
      <c r="N1064" s="185" t="s">
        <v>275</v>
      </c>
      <c r="O1064" s="188" t="s">
        <v>828</v>
      </c>
      <c r="P1064" s="189">
        <v>3336388</v>
      </c>
      <c r="Q1064" s="189">
        <v>0</v>
      </c>
      <c r="R1064" s="189">
        <v>0</v>
      </c>
      <c r="S1064" s="189">
        <f t="shared" si="173"/>
        <v>3336388</v>
      </c>
      <c r="T1064" s="189">
        <f t="shared" si="168"/>
        <v>1633.5224852505569</v>
      </c>
      <c r="U1064" s="189">
        <f>Y1064</f>
        <v>1687.3793728120638</v>
      </c>
      <c r="V1064" s="170">
        <f t="shared" si="174"/>
        <v>53.856887561506937</v>
      </c>
      <c r="W1064" s="170"/>
      <c r="X1064" s="170"/>
      <c r="Y1064" s="173">
        <f t="shared" si="175"/>
        <v>1687.3793728120638</v>
      </c>
      <c r="AA1064" s="173">
        <f t="shared" si="170"/>
        <v>660</v>
      </c>
      <c r="AH1064" s="173" t="e">
        <f t="shared" si="171"/>
        <v>#N/A</v>
      </c>
      <c r="AS1064" s="173" t="e">
        <f t="shared" si="172"/>
        <v>#N/A</v>
      </c>
    </row>
    <row r="1065" spans="1:45" s="173" customFormat="1" ht="36" customHeight="1" x14ac:dyDescent="0.9">
      <c r="A1065" s="173">
        <v>1</v>
      </c>
      <c r="B1065" s="91">
        <f>SUBTOTAL(103,$A$957:A1065)</f>
        <v>106</v>
      </c>
      <c r="C1065" s="90" t="s">
        <v>815</v>
      </c>
      <c r="D1065" s="185">
        <v>1955</v>
      </c>
      <c r="E1065" s="185"/>
      <c r="F1065" s="191" t="s">
        <v>344</v>
      </c>
      <c r="G1065" s="185">
        <v>2</v>
      </c>
      <c r="H1065" s="185">
        <v>2</v>
      </c>
      <c r="I1065" s="186">
        <v>685.7</v>
      </c>
      <c r="J1065" s="186">
        <v>629.20000000000005</v>
      </c>
      <c r="K1065" s="186">
        <v>629.20000000000005</v>
      </c>
      <c r="L1065" s="187">
        <v>28</v>
      </c>
      <c r="M1065" s="185" t="s">
        <v>271</v>
      </c>
      <c r="N1065" s="185" t="s">
        <v>272</v>
      </c>
      <c r="O1065" s="188" t="s">
        <v>274</v>
      </c>
      <c r="P1065" s="189">
        <v>2697058</v>
      </c>
      <c r="Q1065" s="189">
        <v>0</v>
      </c>
      <c r="R1065" s="189">
        <v>0</v>
      </c>
      <c r="S1065" s="189">
        <f t="shared" si="173"/>
        <v>2697058</v>
      </c>
      <c r="T1065" s="189">
        <f t="shared" si="168"/>
        <v>3933.2915269068103</v>
      </c>
      <c r="U1065" s="189">
        <f>AG1065</f>
        <v>6159.7524475524469</v>
      </c>
      <c r="V1065" s="170">
        <f t="shared" si="174"/>
        <v>2226.4609206456366</v>
      </c>
      <c r="W1065" s="170"/>
      <c r="X1065" s="170"/>
      <c r="Y1065" s="173" t="e">
        <f t="shared" si="175"/>
        <v>#N/A</v>
      </c>
      <c r="AA1065" s="173" t="e">
        <f t="shared" si="170"/>
        <v>#N/A</v>
      </c>
      <c r="AG1065" s="173">
        <f>AH1065*6191.24/J1065</f>
        <v>6159.7524475524469</v>
      </c>
      <c r="AH1065" s="173">
        <f t="shared" si="171"/>
        <v>626</v>
      </c>
      <c r="AS1065" s="173" t="e">
        <f t="shared" si="172"/>
        <v>#N/A</v>
      </c>
    </row>
    <row r="1066" spans="1:45" s="173" customFormat="1" ht="36" customHeight="1" x14ac:dyDescent="0.9">
      <c r="A1066" s="173">
        <v>1</v>
      </c>
      <c r="B1066" s="91">
        <f>SUBTOTAL(103,$A$957:A1066)</f>
        <v>107</v>
      </c>
      <c r="C1066" s="90" t="s">
        <v>816</v>
      </c>
      <c r="D1066" s="185">
        <v>1975</v>
      </c>
      <c r="E1066" s="185"/>
      <c r="F1066" s="191" t="s">
        <v>273</v>
      </c>
      <c r="G1066" s="185">
        <v>5</v>
      </c>
      <c r="H1066" s="185">
        <v>6</v>
      </c>
      <c r="I1066" s="186">
        <v>6824.86</v>
      </c>
      <c r="J1066" s="186">
        <v>4475.3</v>
      </c>
      <c r="K1066" s="186">
        <v>4306.8999999999996</v>
      </c>
      <c r="L1066" s="187">
        <v>160</v>
      </c>
      <c r="M1066" s="185" t="s">
        <v>271</v>
      </c>
      <c r="N1066" s="185" t="s">
        <v>275</v>
      </c>
      <c r="O1066" s="188" t="s">
        <v>835</v>
      </c>
      <c r="P1066" s="189">
        <v>8460275.6699999981</v>
      </c>
      <c r="Q1066" s="189">
        <v>0</v>
      </c>
      <c r="R1066" s="189">
        <v>0</v>
      </c>
      <c r="S1066" s="189">
        <f t="shared" si="173"/>
        <v>8460275.6699999981</v>
      </c>
      <c r="T1066" s="189">
        <f t="shared" si="168"/>
        <v>1239.6262590001843</v>
      </c>
      <c r="U1066" s="189">
        <f>Y1066</f>
        <v>1566.5721348130219</v>
      </c>
      <c r="V1066" s="170">
        <f t="shared" si="174"/>
        <v>326.94587581283758</v>
      </c>
      <c r="W1066" s="170"/>
      <c r="X1066" s="170"/>
      <c r="Y1066" s="173">
        <f t="shared" si="175"/>
        <v>1566.5721348130219</v>
      </c>
      <c r="AA1066" s="173">
        <f t="shared" si="170"/>
        <v>2047.5</v>
      </c>
      <c r="AH1066" s="173" t="e">
        <f t="shared" si="171"/>
        <v>#N/A</v>
      </c>
      <c r="AS1066" s="173" t="e">
        <f t="shared" si="172"/>
        <v>#N/A</v>
      </c>
    </row>
    <row r="1067" spans="1:45" s="173" customFormat="1" ht="36" customHeight="1" x14ac:dyDescent="0.9">
      <c r="A1067" s="173">
        <v>1</v>
      </c>
      <c r="B1067" s="91">
        <f>SUBTOTAL(103,$A$957:A1067)</f>
        <v>108</v>
      </c>
      <c r="C1067" s="90" t="s">
        <v>838</v>
      </c>
      <c r="D1067" s="185">
        <v>1959</v>
      </c>
      <c r="E1067" s="185"/>
      <c r="F1067" s="191" t="s">
        <v>273</v>
      </c>
      <c r="G1067" s="185">
        <v>2</v>
      </c>
      <c r="H1067" s="185">
        <v>1</v>
      </c>
      <c r="I1067" s="186">
        <v>309.2</v>
      </c>
      <c r="J1067" s="186">
        <v>287.5</v>
      </c>
      <c r="K1067" s="186">
        <v>287.5</v>
      </c>
      <c r="L1067" s="187">
        <v>14</v>
      </c>
      <c r="M1067" s="185" t="s">
        <v>271</v>
      </c>
      <c r="N1067" s="185" t="s">
        <v>275</v>
      </c>
      <c r="O1067" s="188" t="s">
        <v>1012</v>
      </c>
      <c r="P1067" s="189">
        <v>1911891.6</v>
      </c>
      <c r="Q1067" s="189">
        <v>0</v>
      </c>
      <c r="R1067" s="189">
        <v>0</v>
      </c>
      <c r="S1067" s="189">
        <f t="shared" si="173"/>
        <v>1911891.6</v>
      </c>
      <c r="T1067" s="189">
        <f t="shared" si="168"/>
        <v>6183.3492884864172</v>
      </c>
      <c r="U1067" s="189">
        <f>AG1067</f>
        <v>7752.5092173913044</v>
      </c>
      <c r="V1067" s="170">
        <f t="shared" si="174"/>
        <v>1569.1599289048872</v>
      </c>
      <c r="W1067" s="170"/>
      <c r="X1067" s="170"/>
      <c r="Y1067" s="173" t="e">
        <f t="shared" si="175"/>
        <v>#N/A</v>
      </c>
      <c r="AA1067" s="173" t="e">
        <f t="shared" si="170"/>
        <v>#N/A</v>
      </c>
      <c r="AG1067" s="173">
        <f>AH1067*6191.24/J1067</f>
        <v>7752.5092173913044</v>
      </c>
      <c r="AH1067" s="173">
        <f t="shared" si="171"/>
        <v>360</v>
      </c>
      <c r="AS1067" s="173" t="e">
        <f t="shared" si="172"/>
        <v>#N/A</v>
      </c>
    </row>
    <row r="1068" spans="1:45" s="173" customFormat="1" ht="36" customHeight="1" x14ac:dyDescent="0.9">
      <c r="A1068" s="173">
        <v>1</v>
      </c>
      <c r="B1068" s="91">
        <f>SUBTOTAL(103,$A$957:A1068)</f>
        <v>109</v>
      </c>
      <c r="C1068" s="90" t="s">
        <v>1649</v>
      </c>
      <c r="D1068" s="185">
        <v>1958</v>
      </c>
      <c r="E1068" s="185"/>
      <c r="F1068" s="191" t="s">
        <v>273</v>
      </c>
      <c r="G1068" s="185">
        <v>2</v>
      </c>
      <c r="H1068" s="185">
        <v>2</v>
      </c>
      <c r="I1068" s="186">
        <v>445.5</v>
      </c>
      <c r="J1068" s="186">
        <v>297.3</v>
      </c>
      <c r="K1068" s="186">
        <v>297.3</v>
      </c>
      <c r="L1068" s="187">
        <v>17</v>
      </c>
      <c r="M1068" s="185" t="s">
        <v>271</v>
      </c>
      <c r="N1068" s="185" t="s">
        <v>272</v>
      </c>
      <c r="O1068" s="188" t="s">
        <v>274</v>
      </c>
      <c r="P1068" s="189">
        <v>1984284</v>
      </c>
      <c r="Q1068" s="189">
        <v>0</v>
      </c>
      <c r="R1068" s="189">
        <v>0</v>
      </c>
      <c r="S1068" s="189">
        <f t="shared" si="173"/>
        <v>1984284</v>
      </c>
      <c r="T1068" s="189">
        <f t="shared" si="168"/>
        <v>4454.060606060606</v>
      </c>
      <c r="U1068" s="189">
        <f>Y1068</f>
        <v>4454.060606060606</v>
      </c>
      <c r="V1068" s="170">
        <f t="shared" si="174"/>
        <v>0</v>
      </c>
      <c r="W1068" s="170"/>
      <c r="X1068" s="170"/>
      <c r="Y1068" s="173">
        <f t="shared" si="175"/>
        <v>4454.060606060606</v>
      </c>
      <c r="AA1068" s="173">
        <f t="shared" si="170"/>
        <v>380</v>
      </c>
      <c r="AH1068" s="173" t="e">
        <f t="shared" si="171"/>
        <v>#N/A</v>
      </c>
      <c r="AS1068" s="173" t="e">
        <f t="shared" si="172"/>
        <v>#N/A</v>
      </c>
    </row>
    <row r="1069" spans="1:45" s="173" customFormat="1" ht="36" customHeight="1" x14ac:dyDescent="0.9">
      <c r="B1069" s="90" t="s">
        <v>783</v>
      </c>
      <c r="C1069" s="192"/>
      <c r="D1069" s="185" t="s">
        <v>915</v>
      </c>
      <c r="E1069" s="185" t="s">
        <v>915</v>
      </c>
      <c r="F1069" s="185" t="s">
        <v>915</v>
      </c>
      <c r="G1069" s="185" t="s">
        <v>915</v>
      </c>
      <c r="H1069" s="185" t="s">
        <v>915</v>
      </c>
      <c r="I1069" s="186">
        <f>I1070+I1071</f>
        <v>13712.7</v>
      </c>
      <c r="J1069" s="186">
        <f>J1070+J1071</f>
        <v>12166.6</v>
      </c>
      <c r="K1069" s="186">
        <f>K1070+K1071</f>
        <v>11718.300000000001</v>
      </c>
      <c r="L1069" s="187">
        <f>L1070+L1071</f>
        <v>336</v>
      </c>
      <c r="M1069" s="185" t="s">
        <v>915</v>
      </c>
      <c r="N1069" s="185" t="s">
        <v>915</v>
      </c>
      <c r="O1069" s="188" t="s">
        <v>915</v>
      </c>
      <c r="P1069" s="186">
        <v>21856214.649999999</v>
      </c>
      <c r="Q1069" s="186">
        <f>Q1070+Q1071</f>
        <v>0</v>
      </c>
      <c r="R1069" s="186">
        <f>R1070+R1071</f>
        <v>0</v>
      </c>
      <c r="S1069" s="186">
        <f>S1070+S1071</f>
        <v>21856214.649999999</v>
      </c>
      <c r="T1069" s="189">
        <f t="shared" si="168"/>
        <v>1593.8666090558386</v>
      </c>
      <c r="U1069" s="189">
        <f>MAX(U1070:U1071)</f>
        <v>5020.026672052255</v>
      </c>
      <c r="V1069" s="170">
        <f t="shared" si="174"/>
        <v>3426.1600629964164</v>
      </c>
      <c r="W1069" s="170"/>
      <c r="X1069" s="170"/>
      <c r="Y1069" s="173" t="e">
        <f t="shared" si="175"/>
        <v>#N/A</v>
      </c>
      <c r="AA1069" s="173" t="e">
        <f t="shared" si="170"/>
        <v>#N/A</v>
      </c>
      <c r="AH1069" s="173" t="e">
        <f t="shared" si="171"/>
        <v>#N/A</v>
      </c>
      <c r="AS1069" s="173" t="e">
        <f t="shared" si="172"/>
        <v>#N/A</v>
      </c>
    </row>
    <row r="1070" spans="1:45" s="173" customFormat="1" ht="36" customHeight="1" x14ac:dyDescent="0.9">
      <c r="A1070" s="173">
        <v>1</v>
      </c>
      <c r="B1070" s="91">
        <f>SUBTOTAL(103,$A$957:A1070)</f>
        <v>110</v>
      </c>
      <c r="C1070" s="90" t="s">
        <v>394</v>
      </c>
      <c r="D1070" s="185">
        <v>1981</v>
      </c>
      <c r="E1070" s="185">
        <v>2016</v>
      </c>
      <c r="F1070" s="191" t="s">
        <v>319</v>
      </c>
      <c r="G1070" s="185">
        <v>5</v>
      </c>
      <c r="H1070" s="185">
        <v>5</v>
      </c>
      <c r="I1070" s="186">
        <v>3982.4</v>
      </c>
      <c r="J1070" s="186">
        <v>3501.5</v>
      </c>
      <c r="K1070" s="186">
        <v>3375.6</v>
      </c>
      <c r="L1070" s="187">
        <v>162</v>
      </c>
      <c r="M1070" s="185" t="s">
        <v>271</v>
      </c>
      <c r="N1070" s="185" t="s">
        <v>275</v>
      </c>
      <c r="O1070" s="188" t="s">
        <v>327</v>
      </c>
      <c r="P1070" s="189">
        <v>7550257.2599999998</v>
      </c>
      <c r="Q1070" s="189">
        <v>0</v>
      </c>
      <c r="R1070" s="189">
        <v>0</v>
      </c>
      <c r="S1070" s="189">
        <f>P1070-Q1070-R1070</f>
        <v>7550257.2599999998</v>
      </c>
      <c r="T1070" s="189">
        <f t="shared" si="168"/>
        <v>1895.9063027320208</v>
      </c>
      <c r="U1070" s="189">
        <v>3929.63</v>
      </c>
      <c r="V1070" s="170">
        <f t="shared" si="174"/>
        <v>2033.7236972679793</v>
      </c>
      <c r="W1070" s="170"/>
      <c r="X1070" s="170"/>
      <c r="Y1070" s="173" t="e">
        <f t="shared" si="175"/>
        <v>#N/A</v>
      </c>
      <c r="AA1070" s="173" t="e">
        <f t="shared" si="170"/>
        <v>#N/A</v>
      </c>
      <c r="AH1070" s="173" t="e">
        <f t="shared" si="171"/>
        <v>#N/A</v>
      </c>
      <c r="AS1070" s="173" t="e">
        <f t="shared" si="172"/>
        <v>#N/A</v>
      </c>
    </row>
    <row r="1071" spans="1:45" s="173" customFormat="1" ht="36" customHeight="1" x14ac:dyDescent="0.9">
      <c r="A1071" s="173">
        <v>1</v>
      </c>
      <c r="B1071" s="91">
        <f>SUBTOTAL(103,$A$957:A1071)</f>
        <v>111</v>
      </c>
      <c r="C1071" s="90" t="s">
        <v>395</v>
      </c>
      <c r="D1071" s="185">
        <v>1999</v>
      </c>
      <c r="E1071" s="185">
        <v>2016</v>
      </c>
      <c r="F1071" s="191" t="s">
        <v>319</v>
      </c>
      <c r="G1071" s="185">
        <v>9</v>
      </c>
      <c r="H1071" s="185">
        <v>1</v>
      </c>
      <c r="I1071" s="186">
        <v>9730.3000000000011</v>
      </c>
      <c r="J1071" s="186">
        <v>8665.1</v>
      </c>
      <c r="K1071" s="186">
        <v>8342.7000000000007</v>
      </c>
      <c r="L1071" s="187">
        <v>174</v>
      </c>
      <c r="M1071" s="185" t="s">
        <v>271</v>
      </c>
      <c r="N1071" s="185" t="s">
        <v>275</v>
      </c>
      <c r="O1071" s="188" t="s">
        <v>327</v>
      </c>
      <c r="P1071" s="189">
        <v>14305957.390000001</v>
      </c>
      <c r="Q1071" s="189">
        <v>0</v>
      </c>
      <c r="R1071" s="189">
        <v>0</v>
      </c>
      <c r="S1071" s="189">
        <f>P1071-Q1071-R1071</f>
        <v>14305957.390000001</v>
      </c>
      <c r="T1071" s="189">
        <f t="shared" si="168"/>
        <v>1470.248336639158</v>
      </c>
      <c r="U1071" s="189">
        <f>AG1071</f>
        <v>5020.026672052255</v>
      </c>
      <c r="V1071" s="170">
        <f t="shared" si="174"/>
        <v>3549.778335413097</v>
      </c>
      <c r="W1071" s="170"/>
      <c r="X1071" s="170"/>
      <c r="Y1071" s="173" t="e">
        <f t="shared" si="175"/>
        <v>#N/A</v>
      </c>
      <c r="AA1071" s="173" t="e">
        <f t="shared" si="170"/>
        <v>#N/A</v>
      </c>
      <c r="AG1071" s="173">
        <f>AH1071*6191.24/J1071</f>
        <v>5020.026672052255</v>
      </c>
      <c r="AH1071" s="173">
        <f t="shared" si="171"/>
        <v>7025.9</v>
      </c>
      <c r="AS1071" s="173" t="e">
        <f t="shared" si="172"/>
        <v>#N/A</v>
      </c>
    </row>
    <row r="1072" spans="1:45" s="173" customFormat="1" ht="36" customHeight="1" x14ac:dyDescent="0.9">
      <c r="B1072" s="90" t="s">
        <v>840</v>
      </c>
      <c r="C1072" s="192"/>
      <c r="D1072" s="185" t="s">
        <v>915</v>
      </c>
      <c r="E1072" s="185" t="s">
        <v>915</v>
      </c>
      <c r="F1072" s="185" t="s">
        <v>915</v>
      </c>
      <c r="G1072" s="185" t="s">
        <v>915</v>
      </c>
      <c r="H1072" s="185" t="s">
        <v>915</v>
      </c>
      <c r="I1072" s="186">
        <f>SUM(I1073:I1080)</f>
        <v>44345.180000000008</v>
      </c>
      <c r="J1072" s="186">
        <f>SUM(J1073:J1080)</f>
        <v>31971.989999999998</v>
      </c>
      <c r="K1072" s="186">
        <f>SUM(K1073:K1080)</f>
        <v>31971.989999999998</v>
      </c>
      <c r="L1072" s="187">
        <f>SUM(L1073:L1080)</f>
        <v>1912</v>
      </c>
      <c r="M1072" s="185" t="s">
        <v>915</v>
      </c>
      <c r="N1072" s="185" t="s">
        <v>915</v>
      </c>
      <c r="O1072" s="188" t="s">
        <v>915</v>
      </c>
      <c r="P1072" s="186">
        <v>51599396.32</v>
      </c>
      <c r="Q1072" s="186">
        <f>SUM(Q1073:Q1080)</f>
        <v>0</v>
      </c>
      <c r="R1072" s="186">
        <f>SUM(R1073:R1080)</f>
        <v>0</v>
      </c>
      <c r="S1072" s="186">
        <f>SUM(S1073:S1080)</f>
        <v>51599396.32</v>
      </c>
      <c r="T1072" s="189">
        <f t="shared" si="168"/>
        <v>1163.5852266244042</v>
      </c>
      <c r="U1072" s="189">
        <f>MAX(U1073:U1080)</f>
        <v>8177.5847395193814</v>
      </c>
      <c r="V1072" s="170">
        <f t="shared" si="174"/>
        <v>7013.9995128949777</v>
      </c>
      <c r="W1072" s="170"/>
      <c r="X1072" s="170"/>
      <c r="Y1072" s="173" t="e">
        <f t="shared" si="175"/>
        <v>#N/A</v>
      </c>
      <c r="AA1072" s="173" t="e">
        <f t="shared" si="170"/>
        <v>#N/A</v>
      </c>
      <c r="AH1072" s="173" t="e">
        <f t="shared" si="171"/>
        <v>#N/A</v>
      </c>
      <c r="AS1072" s="173" t="e">
        <f t="shared" si="172"/>
        <v>#N/A</v>
      </c>
    </row>
    <row r="1073" spans="1:45" s="173" customFormat="1" ht="36" customHeight="1" x14ac:dyDescent="0.9">
      <c r="A1073" s="173">
        <v>1</v>
      </c>
      <c r="B1073" s="91">
        <f>SUBTOTAL(103,$A$957:A1073)</f>
        <v>112</v>
      </c>
      <c r="C1073" s="90" t="s">
        <v>628</v>
      </c>
      <c r="D1073" s="185">
        <v>1967</v>
      </c>
      <c r="E1073" s="185"/>
      <c r="F1073" s="191" t="s">
        <v>273</v>
      </c>
      <c r="G1073" s="185">
        <v>5</v>
      </c>
      <c r="H1073" s="185">
        <v>4</v>
      </c>
      <c r="I1073" s="186">
        <v>5264.54</v>
      </c>
      <c r="J1073" s="186">
        <v>2547.17</v>
      </c>
      <c r="K1073" s="186">
        <v>2547.17</v>
      </c>
      <c r="L1073" s="187">
        <v>100</v>
      </c>
      <c r="M1073" s="185" t="s">
        <v>271</v>
      </c>
      <c r="N1073" s="185" t="s">
        <v>275</v>
      </c>
      <c r="O1073" s="188" t="s">
        <v>729</v>
      </c>
      <c r="P1073" s="189">
        <v>5121801</v>
      </c>
      <c r="Q1073" s="189">
        <v>0</v>
      </c>
      <c r="R1073" s="189">
        <v>0</v>
      </c>
      <c r="S1073" s="189">
        <f t="shared" ref="S1073:S1080" si="176">P1073-Q1073-R1073</f>
        <v>5121801</v>
      </c>
      <c r="T1073" s="189">
        <f t="shared" si="168"/>
        <v>972.8867099499671</v>
      </c>
      <c r="U1073" s="189">
        <f>Y1073</f>
        <v>973.03578280343584</v>
      </c>
      <c r="V1073" s="170">
        <f t="shared" si="174"/>
        <v>0.14907285346873778</v>
      </c>
      <c r="W1073" s="170"/>
      <c r="X1073" s="170"/>
      <c r="Y1073" s="173">
        <f t="shared" si="175"/>
        <v>973.03578280343584</v>
      </c>
      <c r="AA1073" s="173">
        <f t="shared" si="170"/>
        <v>981</v>
      </c>
      <c r="AH1073" s="173" t="e">
        <f t="shared" si="171"/>
        <v>#N/A</v>
      </c>
      <c r="AS1073" s="173" t="e">
        <f t="shared" si="172"/>
        <v>#N/A</v>
      </c>
    </row>
    <row r="1074" spans="1:45" s="173" customFormat="1" ht="36" customHeight="1" x14ac:dyDescent="0.9">
      <c r="A1074" s="173">
        <v>1</v>
      </c>
      <c r="B1074" s="91">
        <f>SUBTOTAL(103,$A$957:A1074)</f>
        <v>113</v>
      </c>
      <c r="C1074" s="90" t="s">
        <v>629</v>
      </c>
      <c r="D1074" s="185">
        <v>1969</v>
      </c>
      <c r="E1074" s="185"/>
      <c r="F1074" s="191" t="s">
        <v>273</v>
      </c>
      <c r="G1074" s="185">
        <v>5</v>
      </c>
      <c r="H1074" s="185">
        <v>8</v>
      </c>
      <c r="I1074" s="186">
        <v>8212.5400000000009</v>
      </c>
      <c r="J1074" s="186">
        <v>5998.64</v>
      </c>
      <c r="K1074" s="186">
        <v>5998.64</v>
      </c>
      <c r="L1074" s="187">
        <v>252</v>
      </c>
      <c r="M1074" s="185" t="s">
        <v>271</v>
      </c>
      <c r="N1074" s="185" t="s">
        <v>275</v>
      </c>
      <c r="O1074" s="188" t="s">
        <v>729</v>
      </c>
      <c r="P1074" s="189">
        <v>8124000</v>
      </c>
      <c r="Q1074" s="189">
        <v>0</v>
      </c>
      <c r="R1074" s="189">
        <v>0</v>
      </c>
      <c r="S1074" s="189">
        <f t="shared" si="176"/>
        <v>8124000</v>
      </c>
      <c r="T1074" s="189">
        <f t="shared" si="168"/>
        <v>989.21892617874607</v>
      </c>
      <c r="U1074" s="189">
        <f>Y1074</f>
        <v>1076.1465393167034</v>
      </c>
      <c r="V1074" s="170">
        <f t="shared" si="174"/>
        <v>86.927613137957337</v>
      </c>
      <c r="W1074" s="170"/>
      <c r="X1074" s="170"/>
      <c r="Y1074" s="173">
        <f t="shared" si="175"/>
        <v>1076.1465393167034</v>
      </c>
      <c r="AA1074" s="173">
        <f t="shared" si="170"/>
        <v>1692.5</v>
      </c>
      <c r="AH1074" s="173" t="e">
        <f t="shared" si="171"/>
        <v>#N/A</v>
      </c>
      <c r="AS1074" s="173" t="e">
        <f t="shared" si="172"/>
        <v>#N/A</v>
      </c>
    </row>
    <row r="1075" spans="1:45" s="173" customFormat="1" ht="36" customHeight="1" x14ac:dyDescent="0.9">
      <c r="A1075" s="173">
        <v>1</v>
      </c>
      <c r="B1075" s="91">
        <f>SUBTOTAL(103,$A$957:A1075)</f>
        <v>114</v>
      </c>
      <c r="C1075" s="90" t="s">
        <v>1731</v>
      </c>
      <c r="D1075" s="185">
        <v>1990</v>
      </c>
      <c r="E1075" s="185"/>
      <c r="F1075" s="191" t="s">
        <v>326</v>
      </c>
      <c r="G1075" s="185">
        <v>2</v>
      </c>
      <c r="H1075" s="185">
        <v>2</v>
      </c>
      <c r="I1075" s="186">
        <v>570.1</v>
      </c>
      <c r="J1075" s="186">
        <v>568.70000000000005</v>
      </c>
      <c r="K1075" s="186">
        <v>568.70000000000005</v>
      </c>
      <c r="L1075" s="187">
        <v>25</v>
      </c>
      <c r="M1075" s="185" t="s">
        <v>271</v>
      </c>
      <c r="N1075" s="185" t="s">
        <v>275</v>
      </c>
      <c r="O1075" s="188" t="s">
        <v>731</v>
      </c>
      <c r="P1075" s="189">
        <v>4662041.0599999996</v>
      </c>
      <c r="Q1075" s="189">
        <v>0</v>
      </c>
      <c r="R1075" s="189">
        <v>0</v>
      </c>
      <c r="S1075" s="189">
        <f t="shared" si="176"/>
        <v>4662041.0599999996</v>
      </c>
      <c r="T1075" s="189">
        <f t="shared" si="168"/>
        <v>8177.5847395193814</v>
      </c>
      <c r="U1075" s="189">
        <v>8177.5847395193814</v>
      </c>
      <c r="V1075" s="170">
        <f t="shared" si="174"/>
        <v>0</v>
      </c>
      <c r="W1075" s="170"/>
      <c r="X1075" s="170"/>
      <c r="Y1075" s="173" t="e">
        <f t="shared" si="175"/>
        <v>#N/A</v>
      </c>
      <c r="AA1075" s="173" t="e">
        <f t="shared" si="170"/>
        <v>#N/A</v>
      </c>
      <c r="AG1075" s="173" t="e">
        <f>AH1075*6191.24/J1075</f>
        <v>#N/A</v>
      </c>
      <c r="AH1075" s="173" t="e">
        <f t="shared" si="171"/>
        <v>#N/A</v>
      </c>
      <c r="AS1075" s="173" t="e">
        <f t="shared" si="172"/>
        <v>#N/A</v>
      </c>
    </row>
    <row r="1076" spans="1:45" s="173" customFormat="1" ht="36" customHeight="1" x14ac:dyDescent="0.9">
      <c r="A1076" s="173">
        <v>1</v>
      </c>
      <c r="B1076" s="91">
        <f>SUBTOTAL(103,$A$957:A1076)</f>
        <v>115</v>
      </c>
      <c r="C1076" s="90" t="s">
        <v>633</v>
      </c>
      <c r="D1076" s="185">
        <v>1982</v>
      </c>
      <c r="E1076" s="185"/>
      <c r="F1076" s="191" t="s">
        <v>273</v>
      </c>
      <c r="G1076" s="185">
        <v>9</v>
      </c>
      <c r="H1076" s="185">
        <v>6</v>
      </c>
      <c r="I1076" s="186">
        <v>12114.8</v>
      </c>
      <c r="J1076" s="186">
        <v>10694</v>
      </c>
      <c r="K1076" s="186">
        <v>10694</v>
      </c>
      <c r="L1076" s="187">
        <v>559</v>
      </c>
      <c r="M1076" s="185" t="s">
        <v>271</v>
      </c>
      <c r="N1076" s="185" t="s">
        <v>275</v>
      </c>
      <c r="O1076" s="188" t="s">
        <v>731</v>
      </c>
      <c r="P1076" s="189">
        <v>9052752</v>
      </c>
      <c r="Q1076" s="189">
        <v>0</v>
      </c>
      <c r="R1076" s="189">
        <v>0</v>
      </c>
      <c r="S1076" s="189">
        <f t="shared" si="176"/>
        <v>9052752</v>
      </c>
      <c r="T1076" s="189">
        <f t="shared" si="168"/>
        <v>747.2473338396012</v>
      </c>
      <c r="U1076" s="189">
        <f>Y1076</f>
        <v>781.0200416020075</v>
      </c>
      <c r="V1076" s="170">
        <f t="shared" si="174"/>
        <v>33.772707762406299</v>
      </c>
      <c r="W1076" s="170"/>
      <c r="X1076" s="170"/>
      <c r="Y1076" s="173">
        <f t="shared" si="175"/>
        <v>781.0200416020075</v>
      </c>
      <c r="AA1076" s="173">
        <f t="shared" si="170"/>
        <v>1812</v>
      </c>
      <c r="AH1076" s="173" t="e">
        <f t="shared" si="171"/>
        <v>#N/A</v>
      </c>
      <c r="AS1076" s="173" t="e">
        <f t="shared" si="172"/>
        <v>#N/A</v>
      </c>
    </row>
    <row r="1077" spans="1:45" s="173" customFormat="1" ht="36" customHeight="1" x14ac:dyDescent="0.9">
      <c r="A1077" s="173">
        <v>1</v>
      </c>
      <c r="B1077" s="91">
        <f>SUBTOTAL(103,$A$957:A1077)</f>
        <v>116</v>
      </c>
      <c r="C1077" s="90" t="s">
        <v>647</v>
      </c>
      <c r="D1077" s="185">
        <v>1975</v>
      </c>
      <c r="E1077" s="185"/>
      <c r="F1077" s="191" t="s">
        <v>273</v>
      </c>
      <c r="G1077" s="185">
        <v>5</v>
      </c>
      <c r="H1077" s="185">
        <v>1</v>
      </c>
      <c r="I1077" s="186">
        <v>2310.5</v>
      </c>
      <c r="J1077" s="186">
        <v>830.8</v>
      </c>
      <c r="K1077" s="186">
        <v>830.8</v>
      </c>
      <c r="L1077" s="187">
        <v>86</v>
      </c>
      <c r="M1077" s="185" t="s">
        <v>271</v>
      </c>
      <c r="N1077" s="185" t="s">
        <v>275</v>
      </c>
      <c r="O1077" s="188" t="s">
        <v>728</v>
      </c>
      <c r="P1077" s="189">
        <v>6820409.8600000003</v>
      </c>
      <c r="Q1077" s="189">
        <v>0</v>
      </c>
      <c r="R1077" s="189">
        <v>0</v>
      </c>
      <c r="S1077" s="189">
        <f t="shared" si="176"/>
        <v>6820409.8600000003</v>
      </c>
      <c r="T1077" s="189">
        <f t="shared" si="168"/>
        <v>2951.9194373512228</v>
      </c>
      <c r="U1077" s="189">
        <v>6710.3029820385191</v>
      </c>
      <c r="V1077" s="170">
        <f t="shared" si="174"/>
        <v>3758.3835446872963</v>
      </c>
      <c r="W1077" s="170"/>
      <c r="X1077" s="170"/>
      <c r="Y1077" s="173" t="e">
        <f t="shared" si="175"/>
        <v>#N/A</v>
      </c>
      <c r="AA1077" s="173" t="e">
        <f t="shared" si="170"/>
        <v>#N/A</v>
      </c>
      <c r="AH1077" s="173" t="e">
        <f t="shared" si="171"/>
        <v>#N/A</v>
      </c>
      <c r="AS1077" s="173" t="e">
        <f t="shared" si="172"/>
        <v>#N/A</v>
      </c>
    </row>
    <row r="1078" spans="1:45" s="173" customFormat="1" ht="36" customHeight="1" x14ac:dyDescent="0.9">
      <c r="A1078" s="173">
        <v>1</v>
      </c>
      <c r="B1078" s="91">
        <f>SUBTOTAL(103,$A$957:A1078)</f>
        <v>117</v>
      </c>
      <c r="C1078" s="90" t="s">
        <v>651</v>
      </c>
      <c r="D1078" s="185">
        <v>1982</v>
      </c>
      <c r="E1078" s="185"/>
      <c r="F1078" s="191" t="s">
        <v>273</v>
      </c>
      <c r="G1078" s="185">
        <v>9</v>
      </c>
      <c r="H1078" s="185">
        <v>4</v>
      </c>
      <c r="I1078" s="186">
        <v>9363</v>
      </c>
      <c r="J1078" s="186">
        <v>5631</v>
      </c>
      <c r="K1078" s="186">
        <v>5631</v>
      </c>
      <c r="L1078" s="187">
        <v>549</v>
      </c>
      <c r="M1078" s="185" t="s">
        <v>271</v>
      </c>
      <c r="N1078" s="185" t="s">
        <v>275</v>
      </c>
      <c r="O1078" s="188" t="s">
        <v>736</v>
      </c>
      <c r="P1078" s="189">
        <v>9102212.3999999985</v>
      </c>
      <c r="Q1078" s="189">
        <v>0</v>
      </c>
      <c r="R1078" s="189">
        <v>0</v>
      </c>
      <c r="S1078" s="189">
        <f t="shared" si="176"/>
        <v>9102212.3999999985</v>
      </c>
      <c r="T1078" s="189">
        <f t="shared" si="168"/>
        <v>972.14700416533151</v>
      </c>
      <c r="U1078" s="189">
        <f>Y1078</f>
        <v>1016.0843127202819</v>
      </c>
      <c r="V1078" s="170">
        <f t="shared" si="174"/>
        <v>43.937308554950391</v>
      </c>
      <c r="W1078" s="170"/>
      <c r="X1078" s="170"/>
      <c r="Y1078" s="173">
        <f t="shared" si="175"/>
        <v>1016.0843127202819</v>
      </c>
      <c r="AA1078" s="173">
        <f t="shared" si="170"/>
        <v>1821.9</v>
      </c>
      <c r="AH1078" s="173" t="e">
        <f t="shared" si="171"/>
        <v>#N/A</v>
      </c>
      <c r="AS1078" s="173" t="e">
        <f t="shared" si="172"/>
        <v>#N/A</v>
      </c>
    </row>
    <row r="1079" spans="1:45" s="173" customFormat="1" ht="36" customHeight="1" x14ac:dyDescent="0.9">
      <c r="A1079" s="173">
        <v>1</v>
      </c>
      <c r="B1079" s="91">
        <f>SUBTOTAL(103,$A$957:A1079)</f>
        <v>118</v>
      </c>
      <c r="C1079" s="90" t="s">
        <v>655</v>
      </c>
      <c r="D1079" s="185">
        <v>1966</v>
      </c>
      <c r="E1079" s="185"/>
      <c r="F1079" s="191" t="s">
        <v>273</v>
      </c>
      <c r="G1079" s="185">
        <v>5</v>
      </c>
      <c r="H1079" s="185">
        <v>4</v>
      </c>
      <c r="I1079" s="186">
        <v>3420.4</v>
      </c>
      <c r="J1079" s="186">
        <v>2916.6</v>
      </c>
      <c r="K1079" s="186">
        <v>2916.6</v>
      </c>
      <c r="L1079" s="187">
        <v>133</v>
      </c>
      <c r="M1079" s="185" t="s">
        <v>271</v>
      </c>
      <c r="N1079" s="185" t="s">
        <v>275</v>
      </c>
      <c r="O1079" s="188" t="s">
        <v>735</v>
      </c>
      <c r="P1079" s="189">
        <v>4594480</v>
      </c>
      <c r="Q1079" s="189">
        <v>0</v>
      </c>
      <c r="R1079" s="189">
        <v>0</v>
      </c>
      <c r="S1079" s="189">
        <f t="shared" si="176"/>
        <v>4594480</v>
      </c>
      <c r="T1079" s="189">
        <f t="shared" si="168"/>
        <v>1343.2580984680153</v>
      </c>
      <c r="U1079" s="189">
        <f>Y1079</f>
        <v>1343.4639223482634</v>
      </c>
      <c r="V1079" s="170">
        <f t="shared" si="174"/>
        <v>0.20582388024809006</v>
      </c>
      <c r="W1079" s="170"/>
      <c r="X1079" s="170"/>
      <c r="Y1079" s="173">
        <f t="shared" si="175"/>
        <v>1343.4639223482634</v>
      </c>
      <c r="AA1079" s="173">
        <f t="shared" si="170"/>
        <v>880</v>
      </c>
      <c r="AH1079" s="173" t="e">
        <f t="shared" si="171"/>
        <v>#N/A</v>
      </c>
      <c r="AS1079" s="173" t="e">
        <f t="shared" si="172"/>
        <v>#N/A</v>
      </c>
    </row>
    <row r="1080" spans="1:45" s="173" customFormat="1" ht="36" customHeight="1" x14ac:dyDescent="0.9">
      <c r="A1080" s="173">
        <v>1</v>
      </c>
      <c r="B1080" s="91">
        <f>SUBTOTAL(103,$A$957:A1080)</f>
        <v>119</v>
      </c>
      <c r="C1080" s="90" t="s">
        <v>654</v>
      </c>
      <c r="D1080" s="185">
        <v>1972</v>
      </c>
      <c r="E1080" s="185"/>
      <c r="F1080" s="191" t="s">
        <v>273</v>
      </c>
      <c r="G1080" s="185">
        <v>5</v>
      </c>
      <c r="H1080" s="185">
        <v>4</v>
      </c>
      <c r="I1080" s="186">
        <v>3089.3</v>
      </c>
      <c r="J1080" s="186">
        <v>2785.08</v>
      </c>
      <c r="K1080" s="186">
        <v>2785.08</v>
      </c>
      <c r="L1080" s="187">
        <v>208</v>
      </c>
      <c r="M1080" s="185" t="s">
        <v>271</v>
      </c>
      <c r="N1080" s="185" t="s">
        <v>275</v>
      </c>
      <c r="O1080" s="188" t="s">
        <v>731</v>
      </c>
      <c r="P1080" s="189">
        <v>4121700</v>
      </c>
      <c r="Q1080" s="189">
        <v>0</v>
      </c>
      <c r="R1080" s="189">
        <v>0</v>
      </c>
      <c r="S1080" s="189">
        <f t="shared" si="176"/>
        <v>4121700</v>
      </c>
      <c r="T1080" s="189">
        <f t="shared" si="168"/>
        <v>1334.1857378694201</v>
      </c>
      <c r="U1080" s="189">
        <f>Y1080</f>
        <v>1394.4858058459845</v>
      </c>
      <c r="V1080" s="170">
        <f t="shared" si="174"/>
        <v>60.300067976564378</v>
      </c>
      <c r="W1080" s="170"/>
      <c r="X1080" s="170"/>
      <c r="Y1080" s="173">
        <f t="shared" si="175"/>
        <v>1394.4858058459845</v>
      </c>
      <c r="AA1080" s="173">
        <f t="shared" si="170"/>
        <v>825</v>
      </c>
      <c r="AH1080" s="173" t="e">
        <f t="shared" si="171"/>
        <v>#N/A</v>
      </c>
      <c r="AS1080" s="173" t="e">
        <f t="shared" si="172"/>
        <v>#N/A</v>
      </c>
    </row>
    <row r="1081" spans="1:45" s="173" customFormat="1" ht="36" customHeight="1" x14ac:dyDescent="0.9">
      <c r="B1081" s="90" t="s">
        <v>841</v>
      </c>
      <c r="C1081" s="90"/>
      <c r="D1081" s="185" t="s">
        <v>915</v>
      </c>
      <c r="E1081" s="185" t="s">
        <v>915</v>
      </c>
      <c r="F1081" s="185" t="s">
        <v>915</v>
      </c>
      <c r="G1081" s="185" t="s">
        <v>915</v>
      </c>
      <c r="H1081" s="185" t="s">
        <v>915</v>
      </c>
      <c r="I1081" s="186">
        <f>SUM(I1082:I1084)</f>
        <v>10321.200000000001</v>
      </c>
      <c r="J1081" s="186">
        <f>SUM(J1082:J1084)</f>
        <v>6414.0999999999995</v>
      </c>
      <c r="K1081" s="186">
        <f>SUM(K1082:K1084)</f>
        <v>5994.7000000000007</v>
      </c>
      <c r="L1081" s="187">
        <f>SUM(L1082:L1084)</f>
        <v>281</v>
      </c>
      <c r="M1081" s="185" t="s">
        <v>915</v>
      </c>
      <c r="N1081" s="185" t="s">
        <v>915</v>
      </c>
      <c r="O1081" s="188" t="s">
        <v>915</v>
      </c>
      <c r="P1081" s="186">
        <v>9890638.1399999987</v>
      </c>
      <c r="Q1081" s="186">
        <f>SUM(Q1082:Q1084)</f>
        <v>0</v>
      </c>
      <c r="R1081" s="186">
        <f>SUM(R1082:R1084)</f>
        <v>0</v>
      </c>
      <c r="S1081" s="186">
        <f>SUM(S1082:S1084)</f>
        <v>9890638.1399999987</v>
      </c>
      <c r="T1081" s="189">
        <f t="shared" si="168"/>
        <v>958.28374026275992</v>
      </c>
      <c r="U1081" s="189">
        <f>MAX(U1082:U1084)</f>
        <v>2141.8970583843511</v>
      </c>
      <c r="V1081" s="170">
        <f t="shared" si="174"/>
        <v>1183.6133181215912</v>
      </c>
      <c r="W1081" s="170"/>
      <c r="X1081" s="170"/>
      <c r="Y1081" s="173" t="e">
        <f t="shared" si="175"/>
        <v>#N/A</v>
      </c>
      <c r="AA1081" s="173" t="e">
        <f t="shared" si="170"/>
        <v>#N/A</v>
      </c>
      <c r="AH1081" s="173" t="e">
        <f t="shared" si="171"/>
        <v>#N/A</v>
      </c>
      <c r="AS1081" s="173" t="e">
        <f t="shared" si="172"/>
        <v>#N/A</v>
      </c>
    </row>
    <row r="1082" spans="1:45" s="173" customFormat="1" ht="36" customHeight="1" x14ac:dyDescent="0.9">
      <c r="A1082" s="173">
        <v>1</v>
      </c>
      <c r="B1082" s="91">
        <f>SUBTOTAL(103,$A$957:A1082)</f>
        <v>120</v>
      </c>
      <c r="C1082" s="90" t="s">
        <v>660</v>
      </c>
      <c r="D1082" s="185">
        <v>1992</v>
      </c>
      <c r="E1082" s="185"/>
      <c r="F1082" s="191" t="s">
        <v>319</v>
      </c>
      <c r="G1082" s="185">
        <v>5</v>
      </c>
      <c r="H1082" s="185">
        <v>3</v>
      </c>
      <c r="I1082" s="186">
        <v>5482.2</v>
      </c>
      <c r="J1082" s="186">
        <v>3303.8</v>
      </c>
      <c r="K1082" s="186">
        <v>3096.3</v>
      </c>
      <c r="L1082" s="187">
        <v>147</v>
      </c>
      <c r="M1082" s="185" t="s">
        <v>271</v>
      </c>
      <c r="N1082" s="185" t="s">
        <v>275</v>
      </c>
      <c r="O1082" s="188" t="s">
        <v>733</v>
      </c>
      <c r="P1082" s="189">
        <v>4229613.5999999996</v>
      </c>
      <c r="Q1082" s="189">
        <v>0</v>
      </c>
      <c r="R1082" s="189">
        <v>0</v>
      </c>
      <c r="S1082" s="189">
        <f>P1082-Q1082-R1082</f>
        <v>4229613.5999999996</v>
      </c>
      <c r="T1082" s="189">
        <f t="shared" si="168"/>
        <v>771.5175659406807</v>
      </c>
      <c r="U1082" s="189">
        <f>Y1082</f>
        <v>806.38719492174675</v>
      </c>
      <c r="V1082" s="170">
        <f t="shared" si="174"/>
        <v>34.869628981066057</v>
      </c>
      <c r="W1082" s="170"/>
      <c r="X1082" s="170"/>
      <c r="Y1082" s="173">
        <f t="shared" si="175"/>
        <v>806.38719492174675</v>
      </c>
      <c r="AA1082" s="173">
        <f t="shared" si="170"/>
        <v>846.6</v>
      </c>
      <c r="AH1082" s="173" t="e">
        <f t="shared" si="171"/>
        <v>#N/A</v>
      </c>
      <c r="AS1082" s="173" t="e">
        <f t="shared" si="172"/>
        <v>#N/A</v>
      </c>
    </row>
    <row r="1083" spans="1:45" s="173" customFormat="1" ht="36" customHeight="1" x14ac:dyDescent="0.9">
      <c r="A1083" s="173">
        <v>1</v>
      </c>
      <c r="B1083" s="91">
        <f>SUBTOTAL(103,$A$957:A1083)</f>
        <v>121</v>
      </c>
      <c r="C1083" s="90" t="s">
        <v>1120</v>
      </c>
      <c r="D1083" s="185">
        <v>1983</v>
      </c>
      <c r="E1083" s="185"/>
      <c r="F1083" s="191" t="s">
        <v>273</v>
      </c>
      <c r="G1083" s="185">
        <v>5</v>
      </c>
      <c r="H1083" s="185">
        <v>4</v>
      </c>
      <c r="I1083" s="186">
        <v>4169.3</v>
      </c>
      <c r="J1083" s="186">
        <v>2760.1</v>
      </c>
      <c r="K1083" s="186">
        <v>2597.9</v>
      </c>
      <c r="L1083" s="187">
        <v>121</v>
      </c>
      <c r="M1083" s="185" t="s">
        <v>271</v>
      </c>
      <c r="N1083" s="185" t="s">
        <v>275</v>
      </c>
      <c r="O1083" s="188" t="s">
        <v>1386</v>
      </c>
      <c r="P1083" s="189">
        <v>4226815.84</v>
      </c>
      <c r="Q1083" s="189">
        <v>0</v>
      </c>
      <c r="R1083" s="189">
        <v>0</v>
      </c>
      <c r="S1083" s="189">
        <f>P1083-Q1083-R1083</f>
        <v>4226815.84</v>
      </c>
      <c r="T1083" s="189">
        <f t="shared" si="168"/>
        <v>1013.795083107476</v>
      </c>
      <c r="U1083" s="189">
        <f>Y1083</f>
        <v>1073.8424483726285</v>
      </c>
      <c r="V1083" s="170">
        <f t="shared" si="174"/>
        <v>60.047365265152507</v>
      </c>
      <c r="W1083" s="170"/>
      <c r="X1083" s="170"/>
      <c r="Y1083" s="173">
        <f t="shared" si="175"/>
        <v>1073.8424483726285</v>
      </c>
      <c r="AA1083" s="173">
        <f t="shared" si="170"/>
        <v>857.4</v>
      </c>
      <c r="AH1083" s="173" t="e">
        <f t="shared" si="171"/>
        <v>#N/A</v>
      </c>
      <c r="AS1083" s="173" t="e">
        <f t="shared" si="172"/>
        <v>#N/A</v>
      </c>
    </row>
    <row r="1084" spans="1:45" s="173" customFormat="1" ht="36" customHeight="1" x14ac:dyDescent="0.9">
      <c r="A1084" s="173">
        <v>1</v>
      </c>
      <c r="B1084" s="91">
        <f>SUBTOTAL(103,$A$957:A1084)</f>
        <v>122</v>
      </c>
      <c r="C1084" s="90" t="s">
        <v>658</v>
      </c>
      <c r="D1084" s="185">
        <v>1966</v>
      </c>
      <c r="E1084" s="185"/>
      <c r="F1084" s="191" t="s">
        <v>273</v>
      </c>
      <c r="G1084" s="185">
        <v>2</v>
      </c>
      <c r="H1084" s="185">
        <v>2</v>
      </c>
      <c r="I1084" s="186">
        <v>669.7</v>
      </c>
      <c r="J1084" s="186">
        <v>350.2</v>
      </c>
      <c r="K1084" s="186">
        <v>300.5</v>
      </c>
      <c r="L1084" s="187">
        <v>13</v>
      </c>
      <c r="M1084" s="185" t="s">
        <v>271</v>
      </c>
      <c r="N1084" s="185" t="s">
        <v>275</v>
      </c>
      <c r="O1084" s="188" t="s">
        <v>733</v>
      </c>
      <c r="P1084" s="189">
        <v>1434208.7</v>
      </c>
      <c r="Q1084" s="189">
        <v>0</v>
      </c>
      <c r="R1084" s="189">
        <v>0</v>
      </c>
      <c r="S1084" s="189">
        <f>P1084-Q1084-R1084</f>
        <v>1434208.7</v>
      </c>
      <c r="T1084" s="189">
        <f t="shared" si="168"/>
        <v>2141.5689114528891</v>
      </c>
      <c r="U1084" s="189">
        <f>Y1084</f>
        <v>2141.8970583843511</v>
      </c>
      <c r="V1084" s="170">
        <f t="shared" si="174"/>
        <v>0.32814693146201535</v>
      </c>
      <c r="W1084" s="170"/>
      <c r="X1084" s="170"/>
      <c r="Y1084" s="173">
        <f t="shared" si="175"/>
        <v>2141.8970583843511</v>
      </c>
      <c r="AA1084" s="173">
        <f t="shared" si="170"/>
        <v>274.7</v>
      </c>
      <c r="AH1084" s="173" t="e">
        <f t="shared" si="171"/>
        <v>#N/A</v>
      </c>
      <c r="AS1084" s="173" t="e">
        <f t="shared" si="172"/>
        <v>#N/A</v>
      </c>
    </row>
    <row r="1085" spans="1:45" s="173" customFormat="1" ht="36" customHeight="1" x14ac:dyDescent="0.9">
      <c r="B1085" s="90" t="s">
        <v>842</v>
      </c>
      <c r="C1085" s="90"/>
      <c r="D1085" s="185" t="s">
        <v>915</v>
      </c>
      <c r="E1085" s="185" t="s">
        <v>915</v>
      </c>
      <c r="F1085" s="185" t="s">
        <v>915</v>
      </c>
      <c r="G1085" s="185" t="s">
        <v>915</v>
      </c>
      <c r="H1085" s="185" t="s">
        <v>915</v>
      </c>
      <c r="I1085" s="186">
        <f>SUM(I1086:I1087)</f>
        <v>4408.6000000000004</v>
      </c>
      <c r="J1085" s="186">
        <f>SUM(J1086:J1087)</f>
        <v>4188.5</v>
      </c>
      <c r="K1085" s="186">
        <f>SUM(K1086:K1087)</f>
        <v>1566.9</v>
      </c>
      <c r="L1085" s="187">
        <f>SUM(L1086:L1087)</f>
        <v>120</v>
      </c>
      <c r="M1085" s="185" t="s">
        <v>915</v>
      </c>
      <c r="N1085" s="185" t="s">
        <v>915</v>
      </c>
      <c r="O1085" s="188" t="s">
        <v>915</v>
      </c>
      <c r="P1085" s="189">
        <v>11422752.699999999</v>
      </c>
      <c r="Q1085" s="189">
        <f>Q1086+Q1087</f>
        <v>0</v>
      </c>
      <c r="R1085" s="189">
        <f>R1086+R1087</f>
        <v>0</v>
      </c>
      <c r="S1085" s="189">
        <f>S1086+S1087</f>
        <v>11422752.699999999</v>
      </c>
      <c r="T1085" s="189">
        <f t="shared" si="168"/>
        <v>2591.0159007394632</v>
      </c>
      <c r="U1085" s="189">
        <f>MAX(U1086:U1087)</f>
        <v>10453.869946984569</v>
      </c>
      <c r="V1085" s="170">
        <f t="shared" si="174"/>
        <v>7862.8540462451056</v>
      </c>
      <c r="W1085" s="170"/>
      <c r="X1085" s="170"/>
      <c r="Y1085" s="173" t="e">
        <f t="shared" si="175"/>
        <v>#N/A</v>
      </c>
      <c r="AA1085" s="173" t="e">
        <f t="shared" si="170"/>
        <v>#N/A</v>
      </c>
      <c r="AH1085" s="173" t="e">
        <f t="shared" si="171"/>
        <v>#N/A</v>
      </c>
      <c r="AS1085" s="173" t="e">
        <f t="shared" si="172"/>
        <v>#N/A</v>
      </c>
    </row>
    <row r="1086" spans="1:45" s="173" customFormat="1" ht="36" customHeight="1" x14ac:dyDescent="0.9">
      <c r="A1086" s="173">
        <v>1</v>
      </c>
      <c r="B1086" s="91">
        <f>SUBTOTAL(103,$A$957:A1086)</f>
        <v>123</v>
      </c>
      <c r="C1086" s="90" t="s">
        <v>664</v>
      </c>
      <c r="D1086" s="185">
        <v>1882</v>
      </c>
      <c r="E1086" s="185"/>
      <c r="F1086" s="191" t="s">
        <v>273</v>
      </c>
      <c r="G1086" s="185">
        <v>3</v>
      </c>
      <c r="H1086" s="185">
        <v>3</v>
      </c>
      <c r="I1086" s="186">
        <v>3501.8</v>
      </c>
      <c r="J1086" s="186">
        <v>3352.4</v>
      </c>
      <c r="K1086" s="186">
        <v>1028.9000000000001</v>
      </c>
      <c r="L1086" s="187">
        <v>87</v>
      </c>
      <c r="M1086" s="185" t="s">
        <v>271</v>
      </c>
      <c r="N1086" s="185" t="s">
        <v>275</v>
      </c>
      <c r="O1086" s="188" t="s">
        <v>734</v>
      </c>
      <c r="P1086" s="189">
        <v>4240119.51</v>
      </c>
      <c r="Q1086" s="189">
        <v>0</v>
      </c>
      <c r="R1086" s="189">
        <v>0</v>
      </c>
      <c r="S1086" s="189">
        <f>P1086-Q1086-R1086</f>
        <v>4240119.51</v>
      </c>
      <c r="T1086" s="189">
        <f t="shared" si="168"/>
        <v>1210.839999428865</v>
      </c>
      <c r="U1086" s="189">
        <v>2753.19</v>
      </c>
      <c r="V1086" s="170">
        <f t="shared" si="174"/>
        <v>1542.3500005711351</v>
      </c>
      <c r="W1086" s="170"/>
      <c r="X1086" s="170"/>
      <c r="Y1086" s="173" t="e">
        <f t="shared" si="175"/>
        <v>#N/A</v>
      </c>
      <c r="AA1086" s="173" t="e">
        <f t="shared" si="170"/>
        <v>#N/A</v>
      </c>
      <c r="AH1086" s="173" t="e">
        <f t="shared" si="171"/>
        <v>#N/A</v>
      </c>
      <c r="AS1086" s="173" t="e">
        <f t="shared" si="172"/>
        <v>#N/A</v>
      </c>
    </row>
    <row r="1087" spans="1:45" s="173" customFormat="1" ht="36" customHeight="1" x14ac:dyDescent="0.9">
      <c r="A1087" s="173">
        <v>1</v>
      </c>
      <c r="B1087" s="91">
        <f>SUBTOTAL(103,$A$957:A1087)</f>
        <v>124</v>
      </c>
      <c r="C1087" s="90" t="s">
        <v>668</v>
      </c>
      <c r="D1087" s="185">
        <v>1952</v>
      </c>
      <c r="E1087" s="185"/>
      <c r="F1087" s="191" t="s">
        <v>273</v>
      </c>
      <c r="G1087" s="185">
        <v>2</v>
      </c>
      <c r="H1087" s="185">
        <v>2</v>
      </c>
      <c r="I1087" s="186">
        <v>906.8</v>
      </c>
      <c r="J1087" s="186">
        <v>836.1</v>
      </c>
      <c r="K1087" s="186">
        <v>538</v>
      </c>
      <c r="L1087" s="187">
        <v>33</v>
      </c>
      <c r="M1087" s="185" t="s">
        <v>271</v>
      </c>
      <c r="N1087" s="185" t="s">
        <v>275</v>
      </c>
      <c r="O1087" s="188" t="s">
        <v>734</v>
      </c>
      <c r="P1087" s="189">
        <v>7182633.1900000004</v>
      </c>
      <c r="Q1087" s="189">
        <v>0</v>
      </c>
      <c r="R1087" s="189">
        <v>0</v>
      </c>
      <c r="S1087" s="189">
        <f>P1087-Q1087-R1087</f>
        <v>7182633.1900000004</v>
      </c>
      <c r="T1087" s="189">
        <f t="shared" si="168"/>
        <v>7920.8570688134105</v>
      </c>
      <c r="U1087" s="189">
        <f>Y1087+AG1087</f>
        <v>10453.869946984569</v>
      </c>
      <c r="V1087" s="170">
        <f t="shared" si="174"/>
        <v>2533.0128781711583</v>
      </c>
      <c r="W1087" s="170"/>
      <c r="X1087" s="170"/>
      <c r="Y1087" s="173">
        <f t="shared" si="175"/>
        <v>4658.7922959858852</v>
      </c>
      <c r="AA1087" s="173">
        <f t="shared" si="170"/>
        <v>809.03</v>
      </c>
      <c r="AG1087" s="173">
        <f>AH1087*6191.24/J1087</f>
        <v>5795.0776509986836</v>
      </c>
      <c r="AH1087" s="173">
        <f t="shared" si="171"/>
        <v>782.6</v>
      </c>
      <c r="AS1087" s="173" t="e">
        <f t="shared" si="172"/>
        <v>#N/A</v>
      </c>
    </row>
    <row r="1088" spans="1:45" s="173" customFormat="1" ht="36" customHeight="1" x14ac:dyDescent="0.9">
      <c r="B1088" s="90" t="s">
        <v>843</v>
      </c>
      <c r="C1088" s="90"/>
      <c r="D1088" s="185" t="s">
        <v>915</v>
      </c>
      <c r="E1088" s="185" t="s">
        <v>915</v>
      </c>
      <c r="F1088" s="185" t="s">
        <v>915</v>
      </c>
      <c r="G1088" s="185" t="s">
        <v>915</v>
      </c>
      <c r="H1088" s="185" t="s">
        <v>915</v>
      </c>
      <c r="I1088" s="186">
        <f>SUM(I1089:I1090)</f>
        <v>6442.65</v>
      </c>
      <c r="J1088" s="186">
        <f>SUM(J1089:J1090)</f>
        <v>4755.2999999999993</v>
      </c>
      <c r="K1088" s="186">
        <f>SUM(K1089:K1090)</f>
        <v>4755.2999999999993</v>
      </c>
      <c r="L1088" s="187">
        <f>SUM(L1089:L1090)</f>
        <v>188</v>
      </c>
      <c r="M1088" s="185" t="s">
        <v>915</v>
      </c>
      <c r="N1088" s="185" t="s">
        <v>915</v>
      </c>
      <c r="O1088" s="188" t="s">
        <v>915</v>
      </c>
      <c r="P1088" s="186">
        <v>8756823</v>
      </c>
      <c r="Q1088" s="186">
        <f>SUM(Q1089:Q1090)</f>
        <v>0</v>
      </c>
      <c r="R1088" s="186">
        <f>SUM(R1089:R1090)</f>
        <v>0</v>
      </c>
      <c r="S1088" s="186">
        <f>SUM(S1089:S1090)</f>
        <v>8756823</v>
      </c>
      <c r="T1088" s="189">
        <f t="shared" si="168"/>
        <v>1359.1958278037764</v>
      </c>
      <c r="U1088" s="189">
        <f>MAX(U1089:U1090)</f>
        <v>1701.5774148906728</v>
      </c>
      <c r="V1088" s="170">
        <f t="shared" si="174"/>
        <v>342.38158708689639</v>
      </c>
      <c r="W1088" s="170"/>
      <c r="X1088" s="170"/>
      <c r="Y1088" s="173" t="e">
        <f t="shared" si="175"/>
        <v>#N/A</v>
      </c>
      <c r="AA1088" s="173" t="e">
        <f t="shared" si="170"/>
        <v>#N/A</v>
      </c>
      <c r="AH1088" s="173" t="e">
        <f t="shared" si="171"/>
        <v>#N/A</v>
      </c>
      <c r="AS1088" s="173" t="e">
        <f t="shared" si="172"/>
        <v>#N/A</v>
      </c>
    </row>
    <row r="1089" spans="1:194" s="173" customFormat="1" ht="36" customHeight="1" x14ac:dyDescent="0.9">
      <c r="A1089" s="173">
        <v>1</v>
      </c>
      <c r="B1089" s="91">
        <f>SUBTOTAL(103,$A$957:A1089)</f>
        <v>125</v>
      </c>
      <c r="C1089" s="90" t="s">
        <v>673</v>
      </c>
      <c r="D1089" s="185">
        <v>1986</v>
      </c>
      <c r="E1089" s="185"/>
      <c r="F1089" s="191" t="s">
        <v>273</v>
      </c>
      <c r="G1089" s="185">
        <v>5</v>
      </c>
      <c r="H1089" s="185">
        <v>4</v>
      </c>
      <c r="I1089" s="186">
        <v>3732.9</v>
      </c>
      <c r="J1089" s="186">
        <v>2826.7</v>
      </c>
      <c r="K1089" s="186">
        <v>2826.7</v>
      </c>
      <c r="L1089" s="187">
        <v>115</v>
      </c>
      <c r="M1089" s="185" t="s">
        <v>271</v>
      </c>
      <c r="N1089" s="185" t="s">
        <v>275</v>
      </c>
      <c r="O1089" s="188" t="s">
        <v>737</v>
      </c>
      <c r="P1089" s="189">
        <v>4146680</v>
      </c>
      <c r="Q1089" s="189">
        <v>0</v>
      </c>
      <c r="R1089" s="189">
        <v>0</v>
      </c>
      <c r="S1089" s="189">
        <f>P1089-Q1089-R1089</f>
        <v>4146680</v>
      </c>
      <c r="T1089" s="189">
        <f t="shared" si="168"/>
        <v>1110.8467947172439</v>
      </c>
      <c r="U1089" s="189">
        <f>Y1089</f>
        <v>1161.0528007715182</v>
      </c>
      <c r="V1089" s="170">
        <f t="shared" si="174"/>
        <v>50.206006054274212</v>
      </c>
      <c r="W1089" s="170"/>
      <c r="X1089" s="170"/>
      <c r="Y1089" s="173">
        <f t="shared" si="175"/>
        <v>1161.0528007715182</v>
      </c>
      <c r="AA1089" s="173">
        <f t="shared" si="170"/>
        <v>830</v>
      </c>
      <c r="AH1089" s="173" t="e">
        <f t="shared" si="171"/>
        <v>#N/A</v>
      </c>
      <c r="AS1089" s="173" t="e">
        <f t="shared" si="172"/>
        <v>#N/A</v>
      </c>
    </row>
    <row r="1090" spans="1:194" s="173" customFormat="1" ht="36" customHeight="1" x14ac:dyDescent="0.9">
      <c r="A1090" s="173">
        <v>1</v>
      </c>
      <c r="B1090" s="91">
        <f>SUBTOTAL(103,$A$957:A1090)</f>
        <v>126</v>
      </c>
      <c r="C1090" s="90" t="s">
        <v>676</v>
      </c>
      <c r="D1090" s="185">
        <v>1964</v>
      </c>
      <c r="E1090" s="185"/>
      <c r="F1090" s="191" t="s">
        <v>273</v>
      </c>
      <c r="G1090" s="185">
        <v>4</v>
      </c>
      <c r="H1090" s="185">
        <v>3</v>
      </c>
      <c r="I1090" s="186">
        <v>2709.75</v>
      </c>
      <c r="J1090" s="186">
        <v>1928.6</v>
      </c>
      <c r="K1090" s="186">
        <v>1928.6</v>
      </c>
      <c r="L1090" s="187">
        <v>73</v>
      </c>
      <c r="M1090" s="185" t="s">
        <v>271</v>
      </c>
      <c r="N1090" s="185" t="s">
        <v>275</v>
      </c>
      <c r="O1090" s="188" t="s">
        <v>1017</v>
      </c>
      <c r="P1090" s="189">
        <v>4610143</v>
      </c>
      <c r="Q1090" s="189">
        <v>0</v>
      </c>
      <c r="R1090" s="189">
        <v>0</v>
      </c>
      <c r="S1090" s="189">
        <f>P1090-Q1090-R1090</f>
        <v>4610143</v>
      </c>
      <c r="T1090" s="189">
        <f t="shared" si="168"/>
        <v>1701.3167266352984</v>
      </c>
      <c r="U1090" s="189">
        <f>Y1090</f>
        <v>1701.5774148906728</v>
      </c>
      <c r="V1090" s="170">
        <f t="shared" si="174"/>
        <v>0.26068825537436169</v>
      </c>
      <c r="W1090" s="170"/>
      <c r="X1090" s="170"/>
      <c r="Y1090" s="173">
        <f t="shared" si="175"/>
        <v>1701.5774148906728</v>
      </c>
      <c r="AA1090" s="173">
        <f t="shared" si="170"/>
        <v>883</v>
      </c>
      <c r="AH1090" s="173" t="e">
        <f t="shared" si="171"/>
        <v>#N/A</v>
      </c>
      <c r="AS1090" s="173" t="e">
        <f t="shared" si="172"/>
        <v>#N/A</v>
      </c>
    </row>
    <row r="1091" spans="1:194" s="173" customFormat="1" ht="36" customHeight="1" x14ac:dyDescent="0.9">
      <c r="B1091" s="90" t="s">
        <v>844</v>
      </c>
      <c r="C1091" s="192"/>
      <c r="D1091" s="185" t="s">
        <v>915</v>
      </c>
      <c r="E1091" s="185" t="s">
        <v>915</v>
      </c>
      <c r="F1091" s="185" t="s">
        <v>915</v>
      </c>
      <c r="G1091" s="185" t="s">
        <v>915</v>
      </c>
      <c r="H1091" s="185" t="s">
        <v>915</v>
      </c>
      <c r="I1091" s="186">
        <f>I1092</f>
        <v>1801.1</v>
      </c>
      <c r="J1091" s="186">
        <f>J1092</f>
        <v>277.10000000000002</v>
      </c>
      <c r="K1091" s="186">
        <f>K1092</f>
        <v>277.10000000000002</v>
      </c>
      <c r="L1091" s="187">
        <f>L1092</f>
        <v>15</v>
      </c>
      <c r="M1091" s="185" t="s">
        <v>915</v>
      </c>
      <c r="N1091" s="185" t="s">
        <v>915</v>
      </c>
      <c r="O1091" s="188" t="s">
        <v>915</v>
      </c>
      <c r="P1091" s="189">
        <v>4369866.08</v>
      </c>
      <c r="Q1091" s="189">
        <f>Q1092</f>
        <v>0</v>
      </c>
      <c r="R1091" s="189">
        <f>R1092</f>
        <v>0</v>
      </c>
      <c r="S1091" s="189">
        <f>S1092</f>
        <v>4369866.08</v>
      </c>
      <c r="T1091" s="189">
        <f t="shared" si="168"/>
        <v>2426.2206873577261</v>
      </c>
      <c r="U1091" s="189">
        <f>U1092</f>
        <v>3487.7715840319806</v>
      </c>
      <c r="V1091" s="170">
        <f t="shared" si="174"/>
        <v>1061.5508966742545</v>
      </c>
      <c r="W1091" s="170"/>
      <c r="X1091" s="170"/>
      <c r="Y1091" s="173" t="e">
        <f t="shared" si="175"/>
        <v>#N/A</v>
      </c>
      <c r="AA1091" s="173" t="e">
        <f t="shared" si="170"/>
        <v>#N/A</v>
      </c>
      <c r="AH1091" s="173" t="e">
        <f t="shared" si="171"/>
        <v>#N/A</v>
      </c>
      <c r="AS1091" s="173" t="e">
        <f t="shared" si="172"/>
        <v>#N/A</v>
      </c>
    </row>
    <row r="1092" spans="1:194" s="142" customFormat="1" ht="36" customHeight="1" x14ac:dyDescent="0.9">
      <c r="A1092" s="173">
        <v>1</v>
      </c>
      <c r="B1092" s="91">
        <f>SUBTOTAL(103,$A$957:A1092)</f>
        <v>127</v>
      </c>
      <c r="C1092" s="201" t="s">
        <v>697</v>
      </c>
      <c r="D1092" s="185">
        <v>1968</v>
      </c>
      <c r="E1092" s="185"/>
      <c r="F1092" s="203" t="s">
        <v>273</v>
      </c>
      <c r="G1092" s="185">
        <v>2</v>
      </c>
      <c r="H1092" s="185">
        <v>1</v>
      </c>
      <c r="I1092" s="186">
        <v>1801.1</v>
      </c>
      <c r="J1092" s="186">
        <v>277.10000000000002</v>
      </c>
      <c r="K1092" s="186">
        <v>277.10000000000002</v>
      </c>
      <c r="L1092" s="202">
        <v>15</v>
      </c>
      <c r="M1092" s="185" t="s">
        <v>271</v>
      </c>
      <c r="N1092" s="185" t="s">
        <v>275</v>
      </c>
      <c r="O1092" s="185" t="s">
        <v>744</v>
      </c>
      <c r="P1092" s="186">
        <v>4369866.08</v>
      </c>
      <c r="Q1092" s="186">
        <v>0</v>
      </c>
      <c r="R1092" s="186">
        <v>0</v>
      </c>
      <c r="S1092" s="186">
        <f>P1092-Q1092-R1092</f>
        <v>4369866.08</v>
      </c>
      <c r="T1092" s="189">
        <f t="shared" si="168"/>
        <v>2426.2206873577261</v>
      </c>
      <c r="U1092" s="189">
        <f>Y1092</f>
        <v>3487.7715840319806</v>
      </c>
      <c r="V1092" s="170">
        <f t="shared" si="174"/>
        <v>1061.5508966742545</v>
      </c>
      <c r="W1092" s="170"/>
      <c r="X1092" s="170"/>
      <c r="Y1092" s="173">
        <f t="shared" si="175"/>
        <v>3487.7715840319806</v>
      </c>
      <c r="AA1092" s="173">
        <f t="shared" si="170"/>
        <v>1203</v>
      </c>
      <c r="AH1092" s="173" t="e">
        <f t="shared" si="171"/>
        <v>#N/A</v>
      </c>
      <c r="AS1092" s="173" t="e">
        <f t="shared" si="172"/>
        <v>#N/A</v>
      </c>
      <c r="DT1092" s="144"/>
      <c r="DU1092" s="144"/>
      <c r="DV1092" s="144"/>
      <c r="EJ1092" s="145"/>
      <c r="ES1092" s="146"/>
      <c r="FV1092" s="147"/>
      <c r="GL1092" s="148"/>
    </row>
    <row r="1093" spans="1:194" s="173" customFormat="1" ht="36" customHeight="1" x14ac:dyDescent="0.9">
      <c r="B1093" s="90" t="s">
        <v>845</v>
      </c>
      <c r="C1093" s="90"/>
      <c r="D1093" s="185" t="s">
        <v>915</v>
      </c>
      <c r="E1093" s="185" t="s">
        <v>915</v>
      </c>
      <c r="F1093" s="185" t="s">
        <v>915</v>
      </c>
      <c r="G1093" s="185" t="s">
        <v>915</v>
      </c>
      <c r="H1093" s="185" t="s">
        <v>915</v>
      </c>
      <c r="I1093" s="186">
        <f>I1094</f>
        <v>1070.8</v>
      </c>
      <c r="J1093" s="186">
        <f>J1094</f>
        <v>942</v>
      </c>
      <c r="K1093" s="186">
        <f>K1094</f>
        <v>942</v>
      </c>
      <c r="L1093" s="187">
        <f>L1094</f>
        <v>42</v>
      </c>
      <c r="M1093" s="185" t="s">
        <v>915</v>
      </c>
      <c r="N1093" s="185" t="s">
        <v>915</v>
      </c>
      <c r="O1093" s="188" t="s">
        <v>915</v>
      </c>
      <c r="P1093" s="189">
        <v>2936950.21</v>
      </c>
      <c r="Q1093" s="189">
        <f>Q1094</f>
        <v>0</v>
      </c>
      <c r="R1093" s="189">
        <f>R1094</f>
        <v>0</v>
      </c>
      <c r="S1093" s="189">
        <f>S1094</f>
        <v>2936950.21</v>
      </c>
      <c r="T1093" s="189">
        <f t="shared" si="168"/>
        <v>2742.7626167351514</v>
      </c>
      <c r="U1093" s="189">
        <f>U1094</f>
        <v>5172.511549893843</v>
      </c>
      <c r="V1093" s="170">
        <f t="shared" si="174"/>
        <v>2429.7489331586917</v>
      </c>
      <c r="W1093" s="170"/>
      <c r="X1093" s="170"/>
      <c r="Y1093" s="173" t="e">
        <f t="shared" si="175"/>
        <v>#N/A</v>
      </c>
      <c r="AA1093" s="173" t="e">
        <f t="shared" si="170"/>
        <v>#N/A</v>
      </c>
      <c r="AH1093" s="173" t="e">
        <f t="shared" si="171"/>
        <v>#N/A</v>
      </c>
      <c r="AS1093" s="173" t="e">
        <f t="shared" si="172"/>
        <v>#N/A</v>
      </c>
    </row>
    <row r="1094" spans="1:194" s="142" customFormat="1" ht="36" customHeight="1" x14ac:dyDescent="0.9">
      <c r="A1094" s="173">
        <v>1</v>
      </c>
      <c r="B1094" s="91">
        <f>SUBTOTAL(103,$A$957:A1094)</f>
        <v>128</v>
      </c>
      <c r="C1094" s="201" t="s">
        <v>712</v>
      </c>
      <c r="D1094" s="185">
        <v>1979</v>
      </c>
      <c r="E1094" s="185"/>
      <c r="F1094" s="203" t="s">
        <v>273</v>
      </c>
      <c r="G1094" s="185">
        <v>2</v>
      </c>
      <c r="H1094" s="185">
        <v>3</v>
      </c>
      <c r="I1094" s="186">
        <v>1070.8</v>
      </c>
      <c r="J1094" s="186">
        <v>942</v>
      </c>
      <c r="K1094" s="186">
        <v>942</v>
      </c>
      <c r="L1094" s="202">
        <v>42</v>
      </c>
      <c r="M1094" s="185" t="s">
        <v>271</v>
      </c>
      <c r="N1094" s="185" t="s">
        <v>349</v>
      </c>
      <c r="O1094" s="185" t="s">
        <v>748</v>
      </c>
      <c r="P1094" s="186">
        <v>2936950.21</v>
      </c>
      <c r="Q1094" s="186">
        <v>0</v>
      </c>
      <c r="R1094" s="186">
        <v>0</v>
      </c>
      <c r="S1094" s="186">
        <f>P1094-Q1094-R1094</f>
        <v>2936950.21</v>
      </c>
      <c r="T1094" s="189">
        <f t="shared" si="168"/>
        <v>2742.7626167351514</v>
      </c>
      <c r="U1094" s="189">
        <f>AG1094</f>
        <v>5172.511549893843</v>
      </c>
      <c r="V1094" s="170">
        <f t="shared" si="174"/>
        <v>2429.7489331586917</v>
      </c>
      <c r="W1094" s="170"/>
      <c r="X1094" s="170"/>
      <c r="Y1094" s="173" t="e">
        <f t="shared" si="175"/>
        <v>#N/A</v>
      </c>
      <c r="AA1094" s="173" t="e">
        <f t="shared" si="170"/>
        <v>#N/A</v>
      </c>
      <c r="AG1094" s="173">
        <f>AH1094*6191.24/J1094</f>
        <v>5172.511549893843</v>
      </c>
      <c r="AH1094" s="173">
        <f t="shared" si="171"/>
        <v>787</v>
      </c>
      <c r="AS1094" s="173" t="e">
        <f t="shared" si="172"/>
        <v>#N/A</v>
      </c>
      <c r="DT1094" s="144"/>
      <c r="DU1094" s="144"/>
      <c r="DV1094" s="144"/>
      <c r="EJ1094" s="145"/>
      <c r="ES1094" s="146"/>
      <c r="FV1094" s="147"/>
      <c r="GL1094" s="148"/>
    </row>
    <row r="1095" spans="1:194" s="173" customFormat="1" ht="36" customHeight="1" x14ac:dyDescent="0.9">
      <c r="B1095" s="90" t="s">
        <v>846</v>
      </c>
      <c r="C1095" s="90"/>
      <c r="D1095" s="185" t="s">
        <v>915</v>
      </c>
      <c r="E1095" s="185" t="s">
        <v>915</v>
      </c>
      <c r="F1095" s="185" t="s">
        <v>915</v>
      </c>
      <c r="G1095" s="185" t="s">
        <v>915</v>
      </c>
      <c r="H1095" s="185" t="s">
        <v>915</v>
      </c>
      <c r="I1095" s="186">
        <f>I1096+I1097</f>
        <v>1547.1</v>
      </c>
      <c r="J1095" s="186">
        <f>J1096+J1097</f>
        <v>1426.8</v>
      </c>
      <c r="K1095" s="186">
        <f>K1096+K1097</f>
        <v>275.39999999999998</v>
      </c>
      <c r="L1095" s="187">
        <f>L1096+L1097</f>
        <v>72</v>
      </c>
      <c r="M1095" s="185" t="s">
        <v>915</v>
      </c>
      <c r="N1095" s="185" t="s">
        <v>915</v>
      </c>
      <c r="O1095" s="188" t="s">
        <v>915</v>
      </c>
      <c r="P1095" s="189">
        <v>2773728.46</v>
      </c>
      <c r="Q1095" s="189">
        <f>Q1096+Q1097</f>
        <v>0</v>
      </c>
      <c r="R1095" s="189">
        <f>R1096+R1097</f>
        <v>0</v>
      </c>
      <c r="S1095" s="189">
        <f>S1096+S1097</f>
        <v>2773728.46</v>
      </c>
      <c r="T1095" s="189">
        <f t="shared" si="168"/>
        <v>1792.8566091396808</v>
      </c>
      <c r="U1095" s="189">
        <f>MAX(U1096:U1097)</f>
        <v>3030.2073553871742</v>
      </c>
      <c r="V1095" s="170">
        <f t="shared" si="174"/>
        <v>1237.3507462474934</v>
      </c>
      <c r="W1095" s="170"/>
      <c r="X1095" s="170"/>
      <c r="Y1095" s="173" t="e">
        <f t="shared" si="175"/>
        <v>#N/A</v>
      </c>
      <c r="AA1095" s="173" t="e">
        <f t="shared" si="170"/>
        <v>#N/A</v>
      </c>
      <c r="AH1095" s="173" t="e">
        <f t="shared" si="171"/>
        <v>#N/A</v>
      </c>
      <c r="AS1095" s="173" t="e">
        <f t="shared" si="172"/>
        <v>#N/A</v>
      </c>
    </row>
    <row r="1096" spans="1:194" s="142" customFormat="1" ht="36" customHeight="1" x14ac:dyDescent="0.9">
      <c r="A1096" s="173">
        <v>1</v>
      </c>
      <c r="B1096" s="91">
        <f>SUBTOTAL(103,$A$957:A1096)</f>
        <v>129</v>
      </c>
      <c r="C1096" s="201" t="s">
        <v>704</v>
      </c>
      <c r="D1096" s="185">
        <v>1971</v>
      </c>
      <c r="E1096" s="185"/>
      <c r="F1096" s="203" t="s">
        <v>273</v>
      </c>
      <c r="G1096" s="185">
        <v>3</v>
      </c>
      <c r="H1096" s="185">
        <v>2</v>
      </c>
      <c r="I1096" s="186">
        <v>1082.2</v>
      </c>
      <c r="J1096" s="186">
        <v>1018.1</v>
      </c>
      <c r="K1096" s="186">
        <v>114.5</v>
      </c>
      <c r="L1096" s="202">
        <v>44</v>
      </c>
      <c r="M1096" s="185" t="s">
        <v>271</v>
      </c>
      <c r="N1096" s="185" t="s">
        <v>272</v>
      </c>
      <c r="O1096" s="185" t="s">
        <v>274</v>
      </c>
      <c r="P1096" s="186">
        <v>2539091.92</v>
      </c>
      <c r="Q1096" s="186">
        <v>0</v>
      </c>
      <c r="R1096" s="186">
        <v>0</v>
      </c>
      <c r="S1096" s="186">
        <f>P1096-Q1096-R1096</f>
        <v>2539091.92</v>
      </c>
      <c r="T1096" s="189">
        <f t="shared" si="168"/>
        <v>2346.2316762151172</v>
      </c>
      <c r="U1096" s="189">
        <f>Y1096</f>
        <v>3030.2073553871742</v>
      </c>
      <c r="V1096" s="170">
        <f t="shared" si="174"/>
        <v>683.97567917205697</v>
      </c>
      <c r="W1096" s="170"/>
      <c r="X1096" s="170"/>
      <c r="Y1096" s="173">
        <f t="shared" si="175"/>
        <v>3030.2073553871742</v>
      </c>
      <c r="AA1096" s="173">
        <f t="shared" si="170"/>
        <v>628</v>
      </c>
      <c r="AH1096" s="173" t="e">
        <f t="shared" si="171"/>
        <v>#N/A</v>
      </c>
      <c r="AS1096" s="173" t="e">
        <f t="shared" si="172"/>
        <v>#N/A</v>
      </c>
      <c r="DT1096" s="144"/>
      <c r="DU1096" s="144"/>
      <c r="DV1096" s="144"/>
      <c r="EJ1096" s="145"/>
      <c r="ES1096" s="146"/>
      <c r="FV1096" s="147"/>
      <c r="GL1096" s="148"/>
    </row>
    <row r="1097" spans="1:194" s="142" customFormat="1" ht="36" customHeight="1" x14ac:dyDescent="0.9">
      <c r="A1097" s="173">
        <v>1</v>
      </c>
      <c r="B1097" s="91">
        <f>SUBTOTAL(103,$A$957:A1097)</f>
        <v>130</v>
      </c>
      <c r="C1097" s="201" t="s">
        <v>715</v>
      </c>
      <c r="D1097" s="185">
        <v>1964</v>
      </c>
      <c r="E1097" s="185"/>
      <c r="F1097" s="203" t="s">
        <v>273</v>
      </c>
      <c r="G1097" s="185">
        <v>2</v>
      </c>
      <c r="H1097" s="185">
        <v>2</v>
      </c>
      <c r="I1097" s="186">
        <v>464.9</v>
      </c>
      <c r="J1097" s="186">
        <v>408.7</v>
      </c>
      <c r="K1097" s="186">
        <v>160.9</v>
      </c>
      <c r="L1097" s="202">
        <v>28</v>
      </c>
      <c r="M1097" s="185" t="s">
        <v>271</v>
      </c>
      <c r="N1097" s="185" t="s">
        <v>272</v>
      </c>
      <c r="O1097" s="185" t="s">
        <v>274</v>
      </c>
      <c r="P1097" s="186">
        <v>234636.54</v>
      </c>
      <c r="Q1097" s="186">
        <v>0</v>
      </c>
      <c r="R1097" s="186">
        <v>0</v>
      </c>
      <c r="S1097" s="186">
        <f>P1097-Q1097-R1097</f>
        <v>234636.54</v>
      </c>
      <c r="T1097" s="189">
        <f t="shared" si="168"/>
        <v>504.70324801032484</v>
      </c>
      <c r="U1097" s="189">
        <v>673.78</v>
      </c>
      <c r="V1097" s="170">
        <f t="shared" si="174"/>
        <v>169.07675198967513</v>
      </c>
      <c r="W1097" s="170"/>
      <c r="X1097" s="170"/>
      <c r="Y1097" s="173" t="e">
        <f t="shared" si="175"/>
        <v>#N/A</v>
      </c>
      <c r="AA1097" s="173" t="e">
        <f t="shared" si="170"/>
        <v>#N/A</v>
      </c>
      <c r="AH1097" s="173" t="e">
        <f t="shared" si="171"/>
        <v>#N/A</v>
      </c>
      <c r="AS1097" s="173" t="e">
        <f t="shared" si="172"/>
        <v>#N/A</v>
      </c>
      <c r="DT1097" s="144"/>
      <c r="DU1097" s="144"/>
      <c r="DV1097" s="144"/>
      <c r="EJ1097" s="145"/>
      <c r="ES1097" s="146"/>
      <c r="FV1097" s="147"/>
      <c r="GL1097" s="148"/>
    </row>
    <row r="1098" spans="1:194" s="173" customFormat="1" ht="36" customHeight="1" x14ac:dyDescent="0.9">
      <c r="B1098" s="90" t="s">
        <v>909</v>
      </c>
      <c r="C1098" s="90"/>
      <c r="D1098" s="185" t="s">
        <v>915</v>
      </c>
      <c r="E1098" s="185" t="s">
        <v>915</v>
      </c>
      <c r="F1098" s="185" t="s">
        <v>915</v>
      </c>
      <c r="G1098" s="185" t="s">
        <v>915</v>
      </c>
      <c r="H1098" s="185" t="s">
        <v>915</v>
      </c>
      <c r="I1098" s="186">
        <f>I1099</f>
        <v>455.7</v>
      </c>
      <c r="J1098" s="186">
        <f>J1099</f>
        <v>413.6</v>
      </c>
      <c r="K1098" s="186">
        <f>K1099</f>
        <v>413.6</v>
      </c>
      <c r="L1098" s="187">
        <f>L1099</f>
        <v>26</v>
      </c>
      <c r="M1098" s="185" t="s">
        <v>915</v>
      </c>
      <c r="N1098" s="185" t="s">
        <v>915</v>
      </c>
      <c r="O1098" s="188" t="s">
        <v>915</v>
      </c>
      <c r="P1098" s="189">
        <v>2158336.3499999996</v>
      </c>
      <c r="Q1098" s="189">
        <f>Q1099</f>
        <v>0</v>
      </c>
      <c r="R1098" s="189">
        <f>R1099</f>
        <v>0</v>
      </c>
      <c r="S1098" s="189">
        <f>S1099</f>
        <v>2158336.3499999996</v>
      </c>
      <c r="T1098" s="189">
        <f t="shared" si="168"/>
        <v>4736.309743252139</v>
      </c>
      <c r="U1098" s="189">
        <f>T1098</f>
        <v>4736.309743252139</v>
      </c>
      <c r="V1098" s="170">
        <f t="shared" si="174"/>
        <v>0</v>
      </c>
      <c r="W1098" s="170"/>
      <c r="X1098" s="170"/>
      <c r="Y1098" s="173" t="e">
        <f t="shared" si="175"/>
        <v>#N/A</v>
      </c>
      <c r="AA1098" s="173" t="e">
        <f t="shared" si="170"/>
        <v>#N/A</v>
      </c>
      <c r="AH1098" s="173" t="e">
        <f t="shared" si="171"/>
        <v>#N/A</v>
      </c>
      <c r="AS1098" s="173" t="e">
        <f t="shared" si="172"/>
        <v>#N/A</v>
      </c>
    </row>
    <row r="1099" spans="1:194" s="142" customFormat="1" ht="36" customHeight="1" x14ac:dyDescent="0.9">
      <c r="A1099" s="173">
        <v>1</v>
      </c>
      <c r="B1099" s="91">
        <f>SUBTOTAL(103,$A$957:A1099)</f>
        <v>131</v>
      </c>
      <c r="C1099" s="201" t="s">
        <v>696</v>
      </c>
      <c r="D1099" s="185">
        <v>1962</v>
      </c>
      <c r="E1099" s="185"/>
      <c r="F1099" s="203" t="s">
        <v>273</v>
      </c>
      <c r="G1099" s="185">
        <v>2</v>
      </c>
      <c r="H1099" s="185">
        <v>2</v>
      </c>
      <c r="I1099" s="186">
        <v>455.7</v>
      </c>
      <c r="J1099" s="186">
        <v>413.6</v>
      </c>
      <c r="K1099" s="186">
        <v>413.6</v>
      </c>
      <c r="L1099" s="202">
        <v>26</v>
      </c>
      <c r="M1099" s="185" t="s">
        <v>271</v>
      </c>
      <c r="N1099" s="185" t="s">
        <v>272</v>
      </c>
      <c r="O1099" s="185" t="s">
        <v>274</v>
      </c>
      <c r="P1099" s="186">
        <v>2158336.3499999996</v>
      </c>
      <c r="Q1099" s="186">
        <v>0</v>
      </c>
      <c r="R1099" s="186">
        <v>0</v>
      </c>
      <c r="S1099" s="186">
        <f>P1099-Q1099-R1099</f>
        <v>2158336.3499999996</v>
      </c>
      <c r="T1099" s="189">
        <f t="shared" si="168"/>
        <v>4736.309743252139</v>
      </c>
      <c r="U1099" s="189">
        <f>T1099</f>
        <v>4736.309743252139</v>
      </c>
      <c r="V1099" s="170">
        <f t="shared" si="174"/>
        <v>0</v>
      </c>
      <c r="W1099" s="170"/>
      <c r="X1099" s="170"/>
      <c r="Y1099" s="173">
        <f t="shared" si="175"/>
        <v>4503.3298222514813</v>
      </c>
      <c r="AA1099" s="173">
        <f t="shared" si="170"/>
        <v>393</v>
      </c>
      <c r="AH1099" s="173" t="e">
        <f t="shared" si="171"/>
        <v>#N/A</v>
      </c>
      <c r="AS1099" s="173" t="e">
        <f t="shared" si="172"/>
        <v>#N/A</v>
      </c>
      <c r="DT1099" s="144"/>
      <c r="DU1099" s="144"/>
      <c r="DV1099" s="144"/>
      <c r="EJ1099" s="145"/>
      <c r="ES1099" s="146"/>
      <c r="FV1099" s="147"/>
      <c r="GL1099" s="148"/>
    </row>
    <row r="1100" spans="1:194" s="173" customFormat="1" ht="36" customHeight="1" x14ac:dyDescent="0.9">
      <c r="B1100" s="90" t="s">
        <v>847</v>
      </c>
      <c r="C1100" s="90"/>
      <c r="D1100" s="185" t="s">
        <v>915</v>
      </c>
      <c r="E1100" s="185" t="s">
        <v>915</v>
      </c>
      <c r="F1100" s="185" t="s">
        <v>915</v>
      </c>
      <c r="G1100" s="185" t="s">
        <v>915</v>
      </c>
      <c r="H1100" s="185" t="s">
        <v>915</v>
      </c>
      <c r="I1100" s="186">
        <f>I1101</f>
        <v>3156.2</v>
      </c>
      <c r="J1100" s="186">
        <f>J1101</f>
        <v>2811.5</v>
      </c>
      <c r="K1100" s="186">
        <f>K1101</f>
        <v>759.56</v>
      </c>
      <c r="L1100" s="187">
        <f>L1101</f>
        <v>156</v>
      </c>
      <c r="M1100" s="185" t="s">
        <v>915</v>
      </c>
      <c r="N1100" s="185" t="s">
        <v>915</v>
      </c>
      <c r="O1100" s="188" t="s">
        <v>915</v>
      </c>
      <c r="P1100" s="186">
        <v>2000000</v>
      </c>
      <c r="Q1100" s="186">
        <f>Q1101</f>
        <v>0</v>
      </c>
      <c r="R1100" s="186">
        <f>R1101</f>
        <v>0</v>
      </c>
      <c r="S1100" s="186">
        <f>S1101</f>
        <v>2000000</v>
      </c>
      <c r="T1100" s="189">
        <f t="shared" si="168"/>
        <v>633.67340472720366</v>
      </c>
      <c r="U1100" s="189">
        <f>U1101</f>
        <v>1116.5936315822826</v>
      </c>
      <c r="V1100" s="170">
        <f t="shared" si="174"/>
        <v>482.92022685507891</v>
      </c>
      <c r="W1100" s="170"/>
      <c r="X1100" s="170"/>
      <c r="Y1100" s="173" t="e">
        <f t="shared" si="175"/>
        <v>#N/A</v>
      </c>
      <c r="AA1100" s="173" t="e">
        <f t="shared" si="170"/>
        <v>#N/A</v>
      </c>
      <c r="AH1100" s="173" t="e">
        <f t="shared" si="171"/>
        <v>#N/A</v>
      </c>
      <c r="AS1100" s="173" t="e">
        <f t="shared" si="172"/>
        <v>#N/A</v>
      </c>
    </row>
    <row r="1101" spans="1:194" s="173" customFormat="1" ht="36" customHeight="1" x14ac:dyDescent="0.9">
      <c r="A1101" s="173">
        <v>1</v>
      </c>
      <c r="B1101" s="91">
        <f>SUBTOTAL(103,$A$957:A1101)</f>
        <v>132</v>
      </c>
      <c r="C1101" s="90" t="s">
        <v>711</v>
      </c>
      <c r="D1101" s="185">
        <v>1990</v>
      </c>
      <c r="E1101" s="185"/>
      <c r="F1101" s="191" t="s">
        <v>747</v>
      </c>
      <c r="G1101" s="185">
        <v>5</v>
      </c>
      <c r="H1101" s="185">
        <v>4</v>
      </c>
      <c r="I1101" s="186">
        <v>3156.2</v>
      </c>
      <c r="J1101" s="186">
        <v>2811.5</v>
      </c>
      <c r="K1101" s="186">
        <v>759.56</v>
      </c>
      <c r="L1101" s="187">
        <v>156</v>
      </c>
      <c r="M1101" s="185" t="s">
        <v>271</v>
      </c>
      <c r="N1101" s="185" t="s">
        <v>275</v>
      </c>
      <c r="O1101" s="188" t="s">
        <v>744</v>
      </c>
      <c r="P1101" s="189">
        <v>2000000</v>
      </c>
      <c r="Q1101" s="189">
        <v>0</v>
      </c>
      <c r="R1101" s="189">
        <v>0</v>
      </c>
      <c r="S1101" s="189">
        <f>P1101-Q1101-R1101</f>
        <v>2000000</v>
      </c>
      <c r="T1101" s="189">
        <f t="shared" si="168"/>
        <v>633.67340472720366</v>
      </c>
      <c r="U1101" s="189">
        <f>Y1101</f>
        <v>1116.5936315822826</v>
      </c>
      <c r="V1101" s="170">
        <f t="shared" si="174"/>
        <v>482.92022685507891</v>
      </c>
      <c r="W1101" s="170"/>
      <c r="X1101" s="170"/>
      <c r="Y1101" s="173">
        <f t="shared" si="175"/>
        <v>1116.5936315822826</v>
      </c>
      <c r="AA1101" s="173">
        <f t="shared" si="170"/>
        <v>674.9</v>
      </c>
      <c r="AH1101" s="173" t="e">
        <f t="shared" si="171"/>
        <v>#N/A</v>
      </c>
      <c r="AS1101" s="173" t="e">
        <f t="shared" si="172"/>
        <v>#N/A</v>
      </c>
    </row>
    <row r="1102" spans="1:194" s="173" customFormat="1" ht="36" customHeight="1" x14ac:dyDescent="0.9">
      <c r="B1102" s="90" t="s">
        <v>848</v>
      </c>
      <c r="C1102" s="90"/>
      <c r="D1102" s="185" t="s">
        <v>915</v>
      </c>
      <c r="E1102" s="185" t="s">
        <v>915</v>
      </c>
      <c r="F1102" s="185" t="s">
        <v>915</v>
      </c>
      <c r="G1102" s="185" t="s">
        <v>915</v>
      </c>
      <c r="H1102" s="185" t="s">
        <v>915</v>
      </c>
      <c r="I1102" s="186">
        <f>SUM(I1103:I1109)</f>
        <v>11855.599999999999</v>
      </c>
      <c r="J1102" s="186">
        <f>SUM(J1103:J1109)</f>
        <v>10339</v>
      </c>
      <c r="K1102" s="186">
        <f>SUM(K1103:K1109)</f>
        <v>10137.5</v>
      </c>
      <c r="L1102" s="187">
        <f>SUM(L1103:L1109)</f>
        <v>299</v>
      </c>
      <c r="M1102" s="185" t="s">
        <v>915</v>
      </c>
      <c r="N1102" s="185" t="s">
        <v>915</v>
      </c>
      <c r="O1102" s="188" t="s">
        <v>915</v>
      </c>
      <c r="P1102" s="189">
        <v>23342011.919999998</v>
      </c>
      <c r="Q1102" s="189">
        <f>SUM(Q1103:Q1109)</f>
        <v>0</v>
      </c>
      <c r="R1102" s="189">
        <f>SUM(R1103:R1109)</f>
        <v>0</v>
      </c>
      <c r="S1102" s="189">
        <f>SUM(S1103:S1109)</f>
        <v>23342011.919999998</v>
      </c>
      <c r="T1102" s="189">
        <f t="shared" si="168"/>
        <v>1968.8596039002666</v>
      </c>
      <c r="U1102" s="189">
        <f>MAX(U1103:U1109)</f>
        <v>27692.673949579832</v>
      </c>
      <c r="V1102" s="170">
        <f t="shared" si="174"/>
        <v>25723.814345679566</v>
      </c>
      <c r="W1102" s="170"/>
      <c r="X1102" s="170"/>
      <c r="Y1102" s="173" t="e">
        <f t="shared" si="175"/>
        <v>#N/A</v>
      </c>
      <c r="AA1102" s="173" t="e">
        <f t="shared" si="170"/>
        <v>#N/A</v>
      </c>
      <c r="AH1102" s="173" t="e">
        <f t="shared" si="171"/>
        <v>#N/A</v>
      </c>
      <c r="AS1102" s="173" t="e">
        <f t="shared" si="172"/>
        <v>#N/A</v>
      </c>
    </row>
    <row r="1103" spans="1:194" s="142" customFormat="1" ht="36" customHeight="1" x14ac:dyDescent="0.9">
      <c r="A1103" s="173">
        <v>1</v>
      </c>
      <c r="B1103" s="91">
        <f>SUBTOTAL(103,$A$957:A1103)</f>
        <v>133</v>
      </c>
      <c r="C1103" s="201" t="s">
        <v>683</v>
      </c>
      <c r="D1103" s="185">
        <v>1976</v>
      </c>
      <c r="E1103" s="185"/>
      <c r="F1103" s="203" t="s">
        <v>338</v>
      </c>
      <c r="G1103" s="185">
        <v>2</v>
      </c>
      <c r="H1103" s="185">
        <v>2</v>
      </c>
      <c r="I1103" s="186">
        <v>279.7</v>
      </c>
      <c r="J1103" s="186">
        <v>175.8</v>
      </c>
      <c r="K1103" s="186">
        <v>175.8</v>
      </c>
      <c r="L1103" s="202">
        <v>12</v>
      </c>
      <c r="M1103" s="185" t="s">
        <v>271</v>
      </c>
      <c r="N1103" s="185" t="s">
        <v>272</v>
      </c>
      <c r="O1103" s="185" t="s">
        <v>274</v>
      </c>
      <c r="P1103" s="186">
        <v>1358190.18</v>
      </c>
      <c r="Q1103" s="186">
        <v>0</v>
      </c>
      <c r="R1103" s="186">
        <v>0</v>
      </c>
      <c r="S1103" s="186">
        <f t="shared" ref="S1103:S1109" si="177">P1103-Q1103-R1103</f>
        <v>1358190.18</v>
      </c>
      <c r="T1103" s="189">
        <f t="shared" ref="T1103:T1167" si="178">P1103/I1103</f>
        <v>4855.8819449410084</v>
      </c>
      <c r="U1103" s="189">
        <f>Y1103</f>
        <v>4855.8819449410094</v>
      </c>
      <c r="V1103" s="170">
        <f t="shared" si="174"/>
        <v>0</v>
      </c>
      <c r="W1103" s="170"/>
      <c r="X1103" s="170"/>
      <c r="Y1103" s="173">
        <f t="shared" si="175"/>
        <v>4855.8819449410094</v>
      </c>
      <c r="AA1103" s="173">
        <f t="shared" si="170"/>
        <v>260.10000000000002</v>
      </c>
      <c r="AH1103" s="173" t="e">
        <f t="shared" si="171"/>
        <v>#N/A</v>
      </c>
      <c r="AS1103" s="173" t="e">
        <f t="shared" si="172"/>
        <v>#N/A</v>
      </c>
      <c r="DT1103" s="144"/>
      <c r="DU1103" s="144"/>
      <c r="DV1103" s="144"/>
      <c r="EJ1103" s="145"/>
      <c r="ES1103" s="146"/>
      <c r="FV1103" s="147"/>
      <c r="GL1103" s="148"/>
    </row>
    <row r="1104" spans="1:194" s="142" customFormat="1" ht="36" customHeight="1" x14ac:dyDescent="0.9">
      <c r="A1104" s="173">
        <v>1</v>
      </c>
      <c r="B1104" s="91">
        <f>SUBTOTAL(103,$A$957:A1104)</f>
        <v>134</v>
      </c>
      <c r="C1104" s="201" t="s">
        <v>684</v>
      </c>
      <c r="D1104" s="185">
        <v>1981</v>
      </c>
      <c r="E1104" s="185"/>
      <c r="F1104" s="203" t="s">
        <v>273</v>
      </c>
      <c r="G1104" s="185">
        <v>5</v>
      </c>
      <c r="H1104" s="185">
        <v>2</v>
      </c>
      <c r="I1104" s="186">
        <v>2798</v>
      </c>
      <c r="J1104" s="186">
        <v>1711.4</v>
      </c>
      <c r="K1104" s="186">
        <v>1700.7</v>
      </c>
      <c r="L1104" s="202">
        <v>14</v>
      </c>
      <c r="M1104" s="185" t="s">
        <v>271</v>
      </c>
      <c r="N1104" s="185" t="s">
        <v>275</v>
      </c>
      <c r="O1104" s="185" t="s">
        <v>742</v>
      </c>
      <c r="P1104" s="186">
        <v>3973325</v>
      </c>
      <c r="Q1104" s="186">
        <v>0</v>
      </c>
      <c r="R1104" s="186">
        <v>0</v>
      </c>
      <c r="S1104" s="186">
        <f t="shared" si="177"/>
        <v>3973325</v>
      </c>
      <c r="T1104" s="189">
        <f t="shared" si="178"/>
        <v>1420.0589706933524</v>
      </c>
      <c r="U1104" s="189">
        <f>Y1104</f>
        <v>1586.3223731236596</v>
      </c>
      <c r="V1104" s="170">
        <f t="shared" si="174"/>
        <v>166.26340243030722</v>
      </c>
      <c r="W1104" s="170"/>
      <c r="X1104" s="170"/>
      <c r="Y1104" s="173">
        <f t="shared" si="175"/>
        <v>1586.3223731236596</v>
      </c>
      <c r="AA1104" s="173">
        <f t="shared" si="170"/>
        <v>850</v>
      </c>
      <c r="AH1104" s="173" t="e">
        <f t="shared" si="171"/>
        <v>#N/A</v>
      </c>
      <c r="AS1104" s="173" t="e">
        <f t="shared" si="172"/>
        <v>#N/A</v>
      </c>
      <c r="DT1104" s="144"/>
      <c r="DU1104" s="144"/>
      <c r="DV1104" s="144"/>
      <c r="EJ1104" s="145"/>
      <c r="ES1104" s="146"/>
      <c r="FV1104" s="147"/>
      <c r="GL1104" s="148"/>
    </row>
    <row r="1105" spans="1:194" s="142" customFormat="1" ht="36" customHeight="1" x14ac:dyDescent="0.9">
      <c r="A1105" s="173">
        <v>1</v>
      </c>
      <c r="B1105" s="91">
        <f>SUBTOTAL(103,$A$957:A1105)</f>
        <v>135</v>
      </c>
      <c r="C1105" s="201" t="s">
        <v>709</v>
      </c>
      <c r="D1105" s="185">
        <v>1980</v>
      </c>
      <c r="E1105" s="185"/>
      <c r="F1105" s="203" t="s">
        <v>273</v>
      </c>
      <c r="G1105" s="185">
        <v>2</v>
      </c>
      <c r="H1105" s="185">
        <v>3</v>
      </c>
      <c r="I1105" s="186">
        <v>939.9</v>
      </c>
      <c r="J1105" s="186">
        <v>833.2</v>
      </c>
      <c r="K1105" s="186">
        <v>830.3</v>
      </c>
      <c r="L1105" s="202">
        <v>21</v>
      </c>
      <c r="M1105" s="185" t="s">
        <v>271</v>
      </c>
      <c r="N1105" s="185" t="s">
        <v>275</v>
      </c>
      <c r="O1105" s="185" t="s">
        <v>1112</v>
      </c>
      <c r="P1105" s="186">
        <v>2687908</v>
      </c>
      <c r="Q1105" s="186">
        <v>0</v>
      </c>
      <c r="R1105" s="186">
        <v>0</v>
      </c>
      <c r="S1105" s="186">
        <f t="shared" si="177"/>
        <v>2687908</v>
      </c>
      <c r="T1105" s="189">
        <f t="shared" si="178"/>
        <v>2859.7808277476329</v>
      </c>
      <c r="U1105" s="189">
        <f>Y1105</f>
        <v>3058.4114267475261</v>
      </c>
      <c r="V1105" s="170">
        <f t="shared" si="174"/>
        <v>198.63059899989321</v>
      </c>
      <c r="W1105" s="170"/>
      <c r="X1105" s="170"/>
      <c r="Y1105" s="173">
        <f t="shared" si="175"/>
        <v>3058.4114267475261</v>
      </c>
      <c r="AA1105" s="173">
        <f t="shared" si="170"/>
        <v>550.5</v>
      </c>
      <c r="AH1105" s="173" t="e">
        <f t="shared" si="171"/>
        <v>#N/A</v>
      </c>
      <c r="AS1105" s="173" t="e">
        <f t="shared" si="172"/>
        <v>#N/A</v>
      </c>
      <c r="DT1105" s="144"/>
      <c r="DU1105" s="144"/>
      <c r="DV1105" s="144"/>
      <c r="EJ1105" s="145"/>
      <c r="ES1105" s="146"/>
      <c r="FV1105" s="147"/>
      <c r="GL1105" s="148"/>
    </row>
    <row r="1106" spans="1:194" s="142" customFormat="1" ht="36" customHeight="1" x14ac:dyDescent="0.9">
      <c r="A1106" s="173">
        <v>1</v>
      </c>
      <c r="B1106" s="91">
        <f>SUBTOTAL(103,$A$957:A1106)</f>
        <v>136</v>
      </c>
      <c r="C1106" s="201" t="s">
        <v>693</v>
      </c>
      <c r="D1106" s="185">
        <v>1917</v>
      </c>
      <c r="E1106" s="185"/>
      <c r="F1106" s="203" t="s">
        <v>273</v>
      </c>
      <c r="G1106" s="185">
        <v>2</v>
      </c>
      <c r="H1106" s="185">
        <v>1</v>
      </c>
      <c r="I1106" s="186">
        <v>231.6</v>
      </c>
      <c r="J1106" s="186">
        <v>130.9</v>
      </c>
      <c r="K1106" s="186">
        <v>101.7</v>
      </c>
      <c r="L1106" s="202">
        <v>12</v>
      </c>
      <c r="M1106" s="185" t="s">
        <v>271</v>
      </c>
      <c r="N1106" s="185" t="s">
        <v>272</v>
      </c>
      <c r="O1106" s="185" t="s">
        <v>274</v>
      </c>
      <c r="P1106" s="186">
        <v>3058347.5</v>
      </c>
      <c r="Q1106" s="186">
        <v>0</v>
      </c>
      <c r="R1106" s="186">
        <v>0</v>
      </c>
      <c r="S1106" s="186">
        <f t="shared" si="177"/>
        <v>3058347.5</v>
      </c>
      <c r="T1106" s="189">
        <f t="shared" si="178"/>
        <v>13205.300086355786</v>
      </c>
      <c r="U1106" s="189">
        <f>AG1106</f>
        <v>27692.673949579832</v>
      </c>
      <c r="V1106" s="170">
        <f t="shared" si="174"/>
        <v>14487.373863224046</v>
      </c>
      <c r="W1106" s="170"/>
      <c r="X1106" s="170"/>
      <c r="Y1106" s="173" t="e">
        <f t="shared" si="175"/>
        <v>#N/A</v>
      </c>
      <c r="AA1106" s="173" t="e">
        <f t="shared" si="170"/>
        <v>#N/A</v>
      </c>
      <c r="AG1106" s="173">
        <f>AH1106*6191.24/J1106</f>
        <v>27692.673949579832</v>
      </c>
      <c r="AH1106" s="173">
        <f t="shared" si="171"/>
        <v>585.5</v>
      </c>
      <c r="AS1106" s="173" t="e">
        <f t="shared" si="172"/>
        <v>#N/A</v>
      </c>
      <c r="DT1106" s="144"/>
      <c r="DU1106" s="144"/>
      <c r="DV1106" s="144"/>
      <c r="EJ1106" s="145"/>
      <c r="ES1106" s="146"/>
      <c r="FV1106" s="147"/>
      <c r="GL1106" s="148"/>
    </row>
    <row r="1107" spans="1:194" s="142" customFormat="1" ht="36" customHeight="1" x14ac:dyDescent="0.9">
      <c r="A1107" s="173">
        <v>1</v>
      </c>
      <c r="B1107" s="91">
        <f>SUBTOTAL(103,$A$957:A1107)</f>
        <v>137</v>
      </c>
      <c r="C1107" s="201" t="s">
        <v>692</v>
      </c>
      <c r="D1107" s="185">
        <v>1993</v>
      </c>
      <c r="E1107" s="185"/>
      <c r="F1107" s="203" t="s">
        <v>319</v>
      </c>
      <c r="G1107" s="185">
        <v>5</v>
      </c>
      <c r="H1107" s="185">
        <v>5</v>
      </c>
      <c r="I1107" s="186">
        <v>3247</v>
      </c>
      <c r="J1107" s="186">
        <v>3245</v>
      </c>
      <c r="K1107" s="186">
        <v>3245</v>
      </c>
      <c r="L1107" s="202">
        <v>121</v>
      </c>
      <c r="M1107" s="185" t="s">
        <v>271</v>
      </c>
      <c r="N1107" s="185" t="s">
        <v>349</v>
      </c>
      <c r="O1107" s="185" t="s">
        <v>745</v>
      </c>
      <c r="P1107" s="186">
        <v>5240868.3999999994</v>
      </c>
      <c r="Q1107" s="186">
        <v>0</v>
      </c>
      <c r="R1107" s="186">
        <v>0</v>
      </c>
      <c r="S1107" s="186">
        <f t="shared" si="177"/>
        <v>5240868.3999999994</v>
      </c>
      <c r="T1107" s="189">
        <f t="shared" si="178"/>
        <v>1614.064798275331</v>
      </c>
      <c r="U1107" s="189">
        <f>Y1107+AG1107</f>
        <v>6809.8928736095368</v>
      </c>
      <c r="V1107" s="170">
        <f t="shared" si="174"/>
        <v>5195.828075334206</v>
      </c>
      <c r="W1107" s="170"/>
      <c r="X1107" s="170"/>
      <c r="Y1107" s="173">
        <f t="shared" si="175"/>
        <v>1527.7825685247922</v>
      </c>
      <c r="AA1107" s="173">
        <f t="shared" si="170"/>
        <v>950</v>
      </c>
      <c r="AG1107" s="173">
        <f>AH1107*6191.24/J1107</f>
        <v>5282.1103050847451</v>
      </c>
      <c r="AH1107" s="173">
        <f t="shared" si="171"/>
        <v>2768.5</v>
      </c>
      <c r="AS1107" s="173" t="e">
        <f t="shared" si="172"/>
        <v>#N/A</v>
      </c>
      <c r="DT1107" s="144"/>
      <c r="DU1107" s="144"/>
      <c r="DV1107" s="144"/>
      <c r="EJ1107" s="145"/>
      <c r="ES1107" s="146"/>
      <c r="FV1107" s="147"/>
      <c r="GL1107" s="148"/>
    </row>
    <row r="1108" spans="1:194" s="142" customFormat="1" ht="36" customHeight="1" x14ac:dyDescent="0.9">
      <c r="A1108" s="173">
        <v>1</v>
      </c>
      <c r="B1108" s="91">
        <f>SUBTOTAL(103,$A$957:A1108)</f>
        <v>138</v>
      </c>
      <c r="C1108" s="201" t="s">
        <v>678</v>
      </c>
      <c r="D1108" s="185">
        <v>1927</v>
      </c>
      <c r="E1108" s="185"/>
      <c r="F1108" s="203" t="s">
        <v>273</v>
      </c>
      <c r="G1108" s="185">
        <v>2</v>
      </c>
      <c r="H1108" s="185">
        <v>2</v>
      </c>
      <c r="I1108" s="186">
        <v>525.4</v>
      </c>
      <c r="J1108" s="186">
        <v>408.7</v>
      </c>
      <c r="K1108" s="186">
        <v>282</v>
      </c>
      <c r="L1108" s="202">
        <v>32</v>
      </c>
      <c r="M1108" s="185" t="s">
        <v>271</v>
      </c>
      <c r="N1108" s="185" t="s">
        <v>272</v>
      </c>
      <c r="O1108" s="185" t="s">
        <v>274</v>
      </c>
      <c r="P1108" s="186">
        <v>2526766.84</v>
      </c>
      <c r="Q1108" s="186">
        <v>0</v>
      </c>
      <c r="R1108" s="186">
        <v>0</v>
      </c>
      <c r="S1108" s="186">
        <f t="shared" si="177"/>
        <v>2526766.84</v>
      </c>
      <c r="T1108" s="189">
        <f t="shared" si="178"/>
        <v>4809.2250475827941</v>
      </c>
      <c r="U1108" s="189">
        <f>Y1108+AG1108</f>
        <v>16364.662285559725</v>
      </c>
      <c r="V1108" s="170">
        <f t="shared" si="174"/>
        <v>11555.43723797693</v>
      </c>
      <c r="W1108" s="170"/>
      <c r="X1108" s="170"/>
      <c r="Y1108" s="173">
        <f t="shared" si="175"/>
        <v>5466.2923486867148</v>
      </c>
      <c r="AA1108" s="173">
        <f t="shared" si="170"/>
        <v>550</v>
      </c>
      <c r="AG1108" s="173">
        <f>AH1108*6191.24/J1108</f>
        <v>10898.36993687301</v>
      </c>
      <c r="AH1108" s="173">
        <f t="shared" si="171"/>
        <v>719.43</v>
      </c>
      <c r="AS1108" s="173" t="e">
        <f t="shared" si="172"/>
        <v>#N/A</v>
      </c>
      <c r="DT1108" s="144"/>
      <c r="DU1108" s="144"/>
      <c r="DV1108" s="144"/>
      <c r="EJ1108" s="145"/>
      <c r="ES1108" s="146"/>
      <c r="FV1108" s="147"/>
      <c r="GL1108" s="148"/>
    </row>
    <row r="1109" spans="1:194" s="142" customFormat="1" ht="36" customHeight="1" x14ac:dyDescent="0.9">
      <c r="A1109" s="173">
        <v>1</v>
      </c>
      <c r="B1109" s="91">
        <f>SUBTOTAL(103,$A$957:A1109)</f>
        <v>139</v>
      </c>
      <c r="C1109" s="201" t="s">
        <v>679</v>
      </c>
      <c r="D1109" s="185">
        <v>1983</v>
      </c>
      <c r="E1109" s="185"/>
      <c r="F1109" s="203" t="s">
        <v>273</v>
      </c>
      <c r="G1109" s="185">
        <v>9</v>
      </c>
      <c r="H1109" s="185">
        <v>2</v>
      </c>
      <c r="I1109" s="186">
        <v>3834</v>
      </c>
      <c r="J1109" s="186">
        <v>3834</v>
      </c>
      <c r="K1109" s="186">
        <v>3802</v>
      </c>
      <c r="L1109" s="202">
        <v>87</v>
      </c>
      <c r="M1109" s="185" t="s">
        <v>271</v>
      </c>
      <c r="N1109" s="185" t="s">
        <v>349</v>
      </c>
      <c r="O1109" s="185" t="s">
        <v>749</v>
      </c>
      <c r="P1109" s="186">
        <v>4496606</v>
      </c>
      <c r="Q1109" s="186">
        <v>0</v>
      </c>
      <c r="R1109" s="186">
        <v>0</v>
      </c>
      <c r="S1109" s="186">
        <f t="shared" si="177"/>
        <v>4496606</v>
      </c>
      <c r="T1109" s="189">
        <f t="shared" si="178"/>
        <v>1172.8236828377674</v>
      </c>
      <c r="U1109" s="189">
        <f>T1109</f>
        <v>1172.8236828377674</v>
      </c>
      <c r="V1109" s="170">
        <f t="shared" si="174"/>
        <v>0</v>
      </c>
      <c r="W1109" s="170"/>
      <c r="X1109" s="170"/>
      <c r="Y1109" s="173" t="e">
        <f t="shared" si="175"/>
        <v>#N/A</v>
      </c>
      <c r="AA1109" s="173" t="e">
        <f t="shared" si="170"/>
        <v>#N/A</v>
      </c>
      <c r="AH1109" s="173" t="e">
        <f t="shared" si="171"/>
        <v>#N/A</v>
      </c>
      <c r="AR1109" s="173">
        <f>AS1109*2207413/I1109</f>
        <v>1151.4934793948878</v>
      </c>
      <c r="AS1109" s="173">
        <f t="shared" si="172"/>
        <v>2</v>
      </c>
      <c r="DT1109" s="144"/>
      <c r="DU1109" s="144"/>
      <c r="DV1109" s="144"/>
      <c r="EJ1109" s="145"/>
      <c r="ES1109" s="146"/>
      <c r="FV1109" s="147"/>
      <c r="GL1109" s="148"/>
    </row>
    <row r="1110" spans="1:194" s="173" customFormat="1" ht="36" customHeight="1" x14ac:dyDescent="0.9">
      <c r="B1110" s="90" t="s">
        <v>849</v>
      </c>
      <c r="C1110" s="192"/>
      <c r="D1110" s="185" t="s">
        <v>915</v>
      </c>
      <c r="E1110" s="185" t="s">
        <v>915</v>
      </c>
      <c r="F1110" s="185" t="s">
        <v>915</v>
      </c>
      <c r="G1110" s="185" t="s">
        <v>915</v>
      </c>
      <c r="H1110" s="185" t="s">
        <v>915</v>
      </c>
      <c r="I1110" s="186">
        <f>SUM(I1111:I1112)</f>
        <v>5829.2</v>
      </c>
      <c r="J1110" s="186">
        <f>SUM(J1111:J1112)</f>
        <v>5360.1</v>
      </c>
      <c r="K1110" s="186">
        <f>SUM(K1111:K1112)</f>
        <v>4964.8</v>
      </c>
      <c r="L1110" s="187">
        <f>SUM(L1111:L1112)</f>
        <v>215</v>
      </c>
      <c r="M1110" s="185" t="s">
        <v>915</v>
      </c>
      <c r="N1110" s="185" t="s">
        <v>915</v>
      </c>
      <c r="O1110" s="188" t="s">
        <v>915</v>
      </c>
      <c r="P1110" s="189">
        <v>12591900</v>
      </c>
      <c r="Q1110" s="189">
        <f>Q1111+Q1112</f>
        <v>0</v>
      </c>
      <c r="R1110" s="189">
        <f>R1111+R1112</f>
        <v>0</v>
      </c>
      <c r="S1110" s="189">
        <f>S1111+S1112</f>
        <v>12591900</v>
      </c>
      <c r="T1110" s="189">
        <f t="shared" si="178"/>
        <v>2160.1420435051123</v>
      </c>
      <c r="U1110" s="189">
        <f>MAX(U1111:U1112)</f>
        <v>5732.4013086150489</v>
      </c>
      <c r="V1110" s="170">
        <f t="shared" si="174"/>
        <v>3572.2592651099367</v>
      </c>
      <c r="W1110" s="170"/>
      <c r="X1110" s="170"/>
      <c r="Y1110" s="173" t="e">
        <f t="shared" si="175"/>
        <v>#N/A</v>
      </c>
      <c r="AA1110" s="173" t="e">
        <f t="shared" si="170"/>
        <v>#N/A</v>
      </c>
      <c r="AH1110" s="173" t="e">
        <f t="shared" si="171"/>
        <v>#N/A</v>
      </c>
      <c r="AS1110" s="173" t="e">
        <f t="shared" si="172"/>
        <v>#N/A</v>
      </c>
    </row>
    <row r="1111" spans="1:194" s="142" customFormat="1" ht="36" customHeight="1" x14ac:dyDescent="0.9">
      <c r="A1111" s="173">
        <v>1</v>
      </c>
      <c r="B1111" s="91">
        <f>SUBTOTAL(103,$A$957:A1111)</f>
        <v>140</v>
      </c>
      <c r="C1111" s="201" t="s">
        <v>239</v>
      </c>
      <c r="D1111" s="185">
        <v>1954</v>
      </c>
      <c r="E1111" s="185"/>
      <c r="F1111" s="203" t="s">
        <v>344</v>
      </c>
      <c r="G1111" s="185">
        <v>2</v>
      </c>
      <c r="H1111" s="185">
        <v>2</v>
      </c>
      <c r="I1111" s="186">
        <v>825.3</v>
      </c>
      <c r="J1111" s="186">
        <v>722</v>
      </c>
      <c r="K1111" s="186">
        <v>638.6</v>
      </c>
      <c r="L1111" s="202">
        <v>34</v>
      </c>
      <c r="M1111" s="185" t="s">
        <v>271</v>
      </c>
      <c r="N1111" s="185" t="s">
        <v>275</v>
      </c>
      <c r="O1111" s="185" t="s">
        <v>343</v>
      </c>
      <c r="P1111" s="186">
        <v>4620600</v>
      </c>
      <c r="Q1111" s="186">
        <v>0</v>
      </c>
      <c r="R1111" s="186">
        <v>0</v>
      </c>
      <c r="S1111" s="186">
        <f>P1111-Q1111-R1111</f>
        <v>4620600</v>
      </c>
      <c r="T1111" s="189">
        <f t="shared" si="178"/>
        <v>5598.6913849509274</v>
      </c>
      <c r="U1111" s="189">
        <f>Y1111</f>
        <v>5732.4013086150489</v>
      </c>
      <c r="V1111" s="170">
        <f t="shared" si="174"/>
        <v>133.70992366412156</v>
      </c>
      <c r="W1111" s="170"/>
      <c r="X1111" s="170"/>
      <c r="Y1111" s="173">
        <f t="shared" si="175"/>
        <v>5732.4013086150489</v>
      </c>
      <c r="AA1111" s="173">
        <f t="shared" si="170"/>
        <v>906</v>
      </c>
      <c r="AH1111" s="173" t="e">
        <f t="shared" si="171"/>
        <v>#N/A</v>
      </c>
      <c r="AS1111" s="173" t="e">
        <f t="shared" si="172"/>
        <v>#N/A</v>
      </c>
      <c r="DT1111" s="144"/>
      <c r="DU1111" s="144"/>
      <c r="DV1111" s="144"/>
      <c r="EJ1111" s="145"/>
      <c r="ES1111" s="146"/>
      <c r="FV1111" s="147"/>
      <c r="GL1111" s="148"/>
    </row>
    <row r="1112" spans="1:194" s="142" customFormat="1" ht="36" customHeight="1" x14ac:dyDescent="0.9">
      <c r="A1112" s="173">
        <v>1</v>
      </c>
      <c r="B1112" s="91">
        <f>SUBTOTAL(103,$A$957:A1112)</f>
        <v>141</v>
      </c>
      <c r="C1112" s="201" t="s">
        <v>243</v>
      </c>
      <c r="D1112" s="185">
        <v>1970</v>
      </c>
      <c r="E1112" s="185"/>
      <c r="F1112" s="203" t="s">
        <v>273</v>
      </c>
      <c r="G1112" s="185">
        <v>5</v>
      </c>
      <c r="H1112" s="185">
        <v>6</v>
      </c>
      <c r="I1112" s="186">
        <v>5003.8999999999996</v>
      </c>
      <c r="J1112" s="186">
        <v>4638.1000000000004</v>
      </c>
      <c r="K1112" s="186">
        <v>4326.2</v>
      </c>
      <c r="L1112" s="202">
        <v>181</v>
      </c>
      <c r="M1112" s="185" t="s">
        <v>271</v>
      </c>
      <c r="N1112" s="185" t="s">
        <v>275</v>
      </c>
      <c r="O1112" s="185" t="s">
        <v>341</v>
      </c>
      <c r="P1112" s="186">
        <v>7971300</v>
      </c>
      <c r="Q1112" s="186">
        <v>0</v>
      </c>
      <c r="R1112" s="186">
        <v>0</v>
      </c>
      <c r="S1112" s="186">
        <f>P1112-Q1112-R1112</f>
        <v>7971300</v>
      </c>
      <c r="T1112" s="189">
        <f t="shared" si="178"/>
        <v>1593.0174463918145</v>
      </c>
      <c r="U1112" s="189">
        <f>Y1112</f>
        <v>1631.0624512879956</v>
      </c>
      <c r="V1112" s="170">
        <f t="shared" si="174"/>
        <v>38.045004896181126</v>
      </c>
      <c r="W1112" s="170"/>
      <c r="X1112" s="170"/>
      <c r="Y1112" s="173">
        <f t="shared" si="175"/>
        <v>1631.0624512879956</v>
      </c>
      <c r="AA1112" s="173">
        <f t="shared" si="170"/>
        <v>1563</v>
      </c>
      <c r="AH1112" s="173" t="e">
        <f t="shared" si="171"/>
        <v>#N/A</v>
      </c>
      <c r="AS1112" s="173" t="e">
        <f t="shared" si="172"/>
        <v>#N/A</v>
      </c>
      <c r="DT1112" s="144"/>
      <c r="DU1112" s="144"/>
      <c r="DV1112" s="144"/>
      <c r="EJ1112" s="145"/>
      <c r="ES1112" s="146"/>
      <c r="FV1112" s="147"/>
      <c r="GL1112" s="148"/>
    </row>
    <row r="1113" spans="1:194" s="173" customFormat="1" ht="36" customHeight="1" x14ac:dyDescent="0.9">
      <c r="B1113" s="90" t="s">
        <v>850</v>
      </c>
      <c r="C1113" s="90"/>
      <c r="D1113" s="185" t="s">
        <v>915</v>
      </c>
      <c r="E1113" s="185" t="s">
        <v>915</v>
      </c>
      <c r="F1113" s="185" t="s">
        <v>915</v>
      </c>
      <c r="G1113" s="185" t="s">
        <v>915</v>
      </c>
      <c r="H1113" s="185" t="s">
        <v>915</v>
      </c>
      <c r="I1113" s="186">
        <f>I1114</f>
        <v>396.2</v>
      </c>
      <c r="J1113" s="186">
        <f>J1114</f>
        <v>372.4</v>
      </c>
      <c r="K1113" s="186">
        <f>K1114</f>
        <v>187.9</v>
      </c>
      <c r="L1113" s="187">
        <f>L1114</f>
        <v>21</v>
      </c>
      <c r="M1113" s="185" t="s">
        <v>915</v>
      </c>
      <c r="N1113" s="185" t="s">
        <v>915</v>
      </c>
      <c r="O1113" s="188" t="s">
        <v>915</v>
      </c>
      <c r="P1113" s="189">
        <v>1724820</v>
      </c>
      <c r="Q1113" s="189">
        <f>Q1114</f>
        <v>0</v>
      </c>
      <c r="R1113" s="189">
        <f>R1114</f>
        <v>0</v>
      </c>
      <c r="S1113" s="189">
        <f>S1114</f>
        <v>1724820</v>
      </c>
      <c r="T1113" s="189">
        <f t="shared" si="178"/>
        <v>4353.4073700151439</v>
      </c>
      <c r="U1113" s="189">
        <f>U1114</f>
        <v>4457.3769813225645</v>
      </c>
      <c r="V1113" s="170">
        <f t="shared" si="174"/>
        <v>103.96961130742056</v>
      </c>
      <c r="W1113" s="170"/>
      <c r="X1113" s="170"/>
      <c r="Y1113" s="173" t="e">
        <f t="shared" si="175"/>
        <v>#N/A</v>
      </c>
      <c r="AA1113" s="173" t="e">
        <f t="shared" si="170"/>
        <v>#N/A</v>
      </c>
      <c r="AH1113" s="173" t="e">
        <f t="shared" si="171"/>
        <v>#N/A</v>
      </c>
      <c r="AS1113" s="173" t="e">
        <f t="shared" si="172"/>
        <v>#N/A</v>
      </c>
    </row>
    <row r="1114" spans="1:194" s="142" customFormat="1" ht="36" customHeight="1" x14ac:dyDescent="0.9">
      <c r="A1114" s="173">
        <v>1</v>
      </c>
      <c r="B1114" s="91">
        <f>SUBTOTAL(103,$A$957:A1114)</f>
        <v>142</v>
      </c>
      <c r="C1114" s="201" t="s">
        <v>248</v>
      </c>
      <c r="D1114" s="185">
        <v>1977</v>
      </c>
      <c r="E1114" s="185"/>
      <c r="F1114" s="203" t="s">
        <v>273</v>
      </c>
      <c r="G1114" s="185">
        <v>2</v>
      </c>
      <c r="H1114" s="185">
        <v>1</v>
      </c>
      <c r="I1114" s="186">
        <v>396.2</v>
      </c>
      <c r="J1114" s="186">
        <v>372.4</v>
      </c>
      <c r="K1114" s="186">
        <v>187.9</v>
      </c>
      <c r="L1114" s="202">
        <v>21</v>
      </c>
      <c r="M1114" s="185" t="s">
        <v>271</v>
      </c>
      <c r="N1114" s="185" t="s">
        <v>272</v>
      </c>
      <c r="O1114" s="185" t="s">
        <v>274</v>
      </c>
      <c r="P1114" s="186">
        <v>1724820</v>
      </c>
      <c r="Q1114" s="186">
        <v>0</v>
      </c>
      <c r="R1114" s="186">
        <v>0</v>
      </c>
      <c r="S1114" s="186">
        <f>P1114-Q1114-R1114</f>
        <v>1724820</v>
      </c>
      <c r="T1114" s="189">
        <f t="shared" si="178"/>
        <v>4353.4073700151439</v>
      </c>
      <c r="U1114" s="189">
        <f>Y1114</f>
        <v>4457.3769813225645</v>
      </c>
      <c r="V1114" s="170">
        <f t="shared" si="174"/>
        <v>103.96961130742056</v>
      </c>
      <c r="W1114" s="170"/>
      <c r="X1114" s="170"/>
      <c r="Y1114" s="173">
        <f t="shared" si="175"/>
        <v>4457.3769813225645</v>
      </c>
      <c r="AA1114" s="173">
        <f t="shared" si="170"/>
        <v>338.2</v>
      </c>
      <c r="AH1114" s="173" t="e">
        <f t="shared" si="171"/>
        <v>#N/A</v>
      </c>
      <c r="AS1114" s="173" t="e">
        <f t="shared" si="172"/>
        <v>#N/A</v>
      </c>
      <c r="DT1114" s="144"/>
      <c r="DU1114" s="144"/>
      <c r="DV1114" s="144"/>
      <c r="EJ1114" s="145"/>
      <c r="ES1114" s="146"/>
      <c r="FV1114" s="147"/>
      <c r="GL1114" s="148"/>
    </row>
    <row r="1115" spans="1:194" s="173" customFormat="1" ht="36" customHeight="1" x14ac:dyDescent="0.9">
      <c r="B1115" s="90" t="s">
        <v>851</v>
      </c>
      <c r="C1115" s="90"/>
      <c r="D1115" s="185" t="s">
        <v>915</v>
      </c>
      <c r="E1115" s="185" t="s">
        <v>915</v>
      </c>
      <c r="F1115" s="185" t="s">
        <v>915</v>
      </c>
      <c r="G1115" s="185" t="s">
        <v>915</v>
      </c>
      <c r="H1115" s="185" t="s">
        <v>915</v>
      </c>
      <c r="I1115" s="186">
        <f>I1116</f>
        <v>1011.8</v>
      </c>
      <c r="J1115" s="186">
        <f>J1116</f>
        <v>928.8</v>
      </c>
      <c r="K1115" s="186">
        <f>K1116</f>
        <v>827.3</v>
      </c>
      <c r="L1115" s="187">
        <f>L1116</f>
        <v>26</v>
      </c>
      <c r="M1115" s="185" t="s">
        <v>915</v>
      </c>
      <c r="N1115" s="185" t="s">
        <v>915</v>
      </c>
      <c r="O1115" s="188" t="s">
        <v>915</v>
      </c>
      <c r="P1115" s="189">
        <v>1739107.3499999999</v>
      </c>
      <c r="Q1115" s="189">
        <f>Q1116</f>
        <v>0</v>
      </c>
      <c r="R1115" s="189">
        <f>R1116</f>
        <v>0</v>
      </c>
      <c r="S1115" s="189">
        <f>S1116</f>
        <v>1739107.3499999999</v>
      </c>
      <c r="T1115" s="189">
        <f t="shared" si="178"/>
        <v>1718.8252124925873</v>
      </c>
      <c r="U1115" s="189">
        <f>U1116</f>
        <v>3790.8679888027564</v>
      </c>
      <c r="V1115" s="170">
        <f t="shared" si="174"/>
        <v>2072.0427763101688</v>
      </c>
      <c r="W1115" s="170"/>
      <c r="X1115" s="170"/>
      <c r="Y1115" s="173" t="e">
        <f t="shared" si="175"/>
        <v>#N/A</v>
      </c>
      <c r="AA1115" s="173" t="e">
        <f t="shared" si="170"/>
        <v>#N/A</v>
      </c>
      <c r="AH1115" s="173" t="e">
        <f t="shared" si="171"/>
        <v>#N/A</v>
      </c>
      <c r="AS1115" s="173" t="e">
        <f t="shared" si="172"/>
        <v>#N/A</v>
      </c>
    </row>
    <row r="1116" spans="1:194" s="142" customFormat="1" ht="36" customHeight="1" x14ac:dyDescent="0.9">
      <c r="A1116" s="173">
        <v>1</v>
      </c>
      <c r="B1116" s="91">
        <f>SUBTOTAL(103,$A$957:A1116)</f>
        <v>143</v>
      </c>
      <c r="C1116" s="201" t="s">
        <v>250</v>
      </c>
      <c r="D1116" s="185">
        <v>1979</v>
      </c>
      <c r="E1116" s="185"/>
      <c r="F1116" s="203" t="s">
        <v>319</v>
      </c>
      <c r="G1116" s="185">
        <v>3</v>
      </c>
      <c r="H1116" s="185">
        <v>2</v>
      </c>
      <c r="I1116" s="186">
        <v>1011.8</v>
      </c>
      <c r="J1116" s="186">
        <v>928.8</v>
      </c>
      <c r="K1116" s="186">
        <v>827.3</v>
      </c>
      <c r="L1116" s="202">
        <v>26</v>
      </c>
      <c r="M1116" s="185" t="s">
        <v>271</v>
      </c>
      <c r="N1116" s="185" t="s">
        <v>272</v>
      </c>
      <c r="O1116" s="185" t="s">
        <v>274</v>
      </c>
      <c r="P1116" s="186">
        <v>1739107.3499999999</v>
      </c>
      <c r="Q1116" s="186">
        <v>0</v>
      </c>
      <c r="R1116" s="186">
        <v>0</v>
      </c>
      <c r="S1116" s="186">
        <f>P1116-Q1116-R1116</f>
        <v>1739107.3499999999</v>
      </c>
      <c r="T1116" s="189">
        <f t="shared" si="178"/>
        <v>1718.8252124925873</v>
      </c>
      <c r="U1116" s="189">
        <f>AG1116</f>
        <v>3790.8679888027564</v>
      </c>
      <c r="V1116" s="170">
        <f t="shared" si="174"/>
        <v>2072.0427763101688</v>
      </c>
      <c r="W1116" s="170"/>
      <c r="X1116" s="170"/>
      <c r="Y1116" s="173" t="e">
        <f t="shared" si="175"/>
        <v>#N/A</v>
      </c>
      <c r="AA1116" s="173" t="e">
        <f t="shared" ref="AA1116:AA1179" si="179">VLOOKUP(C1116,AC:AE,2,FALSE)</f>
        <v>#N/A</v>
      </c>
      <c r="AG1116" s="173">
        <f>AH1116*6191.24/J1116</f>
        <v>3790.8679888027564</v>
      </c>
      <c r="AH1116" s="173">
        <f t="shared" ref="AH1116:AH1179" si="180">VLOOKUP(C1116,AJ:AK,2,FALSE)</f>
        <v>568.70000000000005</v>
      </c>
      <c r="AS1116" s="173" t="e">
        <f t="shared" ref="AS1116:AS1179" si="181">VLOOKUP(C1116,AU:AV,2,FALSE)</f>
        <v>#N/A</v>
      </c>
      <c r="DT1116" s="144"/>
      <c r="DU1116" s="144"/>
      <c r="DV1116" s="144"/>
      <c r="EJ1116" s="145"/>
      <c r="ES1116" s="146"/>
      <c r="FV1116" s="147"/>
      <c r="GL1116" s="148"/>
    </row>
    <row r="1117" spans="1:194" s="173" customFormat="1" ht="36" customHeight="1" x14ac:dyDescent="0.9">
      <c r="B1117" s="90" t="s">
        <v>910</v>
      </c>
      <c r="C1117" s="194"/>
      <c r="D1117" s="185" t="s">
        <v>915</v>
      </c>
      <c r="E1117" s="185" t="s">
        <v>915</v>
      </c>
      <c r="F1117" s="185" t="s">
        <v>915</v>
      </c>
      <c r="G1117" s="185" t="s">
        <v>915</v>
      </c>
      <c r="H1117" s="185" t="s">
        <v>915</v>
      </c>
      <c r="I1117" s="186">
        <f>I1118</f>
        <v>594.20000000000005</v>
      </c>
      <c r="J1117" s="186">
        <f>J1118</f>
        <v>550.6</v>
      </c>
      <c r="K1117" s="186">
        <f>K1118</f>
        <v>550.6</v>
      </c>
      <c r="L1117" s="187">
        <f>L1118</f>
        <v>23</v>
      </c>
      <c r="M1117" s="185" t="s">
        <v>915</v>
      </c>
      <c r="N1117" s="185" t="s">
        <v>915</v>
      </c>
      <c r="O1117" s="188" t="s">
        <v>915</v>
      </c>
      <c r="P1117" s="189">
        <v>3373804.98</v>
      </c>
      <c r="Q1117" s="189">
        <f>Q1118</f>
        <v>0</v>
      </c>
      <c r="R1117" s="189">
        <f>R1118</f>
        <v>0</v>
      </c>
      <c r="S1117" s="189">
        <f>S1118</f>
        <v>3373804.98</v>
      </c>
      <c r="T1117" s="189">
        <f t="shared" si="178"/>
        <v>5677.8946146078761</v>
      </c>
      <c r="U1117" s="189">
        <f>U1118</f>
        <v>5677.8946146078761</v>
      </c>
      <c r="V1117" s="170">
        <f t="shared" si="174"/>
        <v>0</v>
      </c>
      <c r="W1117" s="170"/>
      <c r="X1117" s="170"/>
      <c r="Y1117" s="173" t="e">
        <f t="shared" si="175"/>
        <v>#N/A</v>
      </c>
      <c r="AA1117" s="173" t="e">
        <f t="shared" si="179"/>
        <v>#N/A</v>
      </c>
      <c r="AH1117" s="173" t="e">
        <f t="shared" si="180"/>
        <v>#N/A</v>
      </c>
      <c r="AS1117" s="173" t="e">
        <f t="shared" si="181"/>
        <v>#N/A</v>
      </c>
    </row>
    <row r="1118" spans="1:194" s="142" customFormat="1" ht="36" customHeight="1" x14ac:dyDescent="0.9">
      <c r="A1118" s="173">
        <v>1</v>
      </c>
      <c r="B1118" s="91">
        <f>SUBTOTAL(103,$A$957:A1118)</f>
        <v>144</v>
      </c>
      <c r="C1118" s="201" t="s">
        <v>4</v>
      </c>
      <c r="D1118" s="185">
        <v>1977</v>
      </c>
      <c r="E1118" s="185"/>
      <c r="F1118" s="203" t="s">
        <v>273</v>
      </c>
      <c r="G1118" s="185">
        <v>2</v>
      </c>
      <c r="H1118" s="185">
        <v>2</v>
      </c>
      <c r="I1118" s="186">
        <v>594.20000000000005</v>
      </c>
      <c r="J1118" s="186">
        <v>550.6</v>
      </c>
      <c r="K1118" s="186">
        <v>550.6</v>
      </c>
      <c r="L1118" s="202">
        <v>23</v>
      </c>
      <c r="M1118" s="185" t="s">
        <v>271</v>
      </c>
      <c r="N1118" s="185" t="s">
        <v>272</v>
      </c>
      <c r="O1118" s="185" t="s">
        <v>274</v>
      </c>
      <c r="P1118" s="186">
        <v>3373804.98</v>
      </c>
      <c r="Q1118" s="186">
        <v>0</v>
      </c>
      <c r="R1118" s="186">
        <v>0</v>
      </c>
      <c r="S1118" s="186">
        <f>P1118-Q1118-R1118</f>
        <v>3373804.98</v>
      </c>
      <c r="T1118" s="189">
        <f t="shared" si="178"/>
        <v>5677.8946146078761</v>
      </c>
      <c r="U1118" s="189">
        <f>Y1118</f>
        <v>5677.8946146078761</v>
      </c>
      <c r="V1118" s="170">
        <f t="shared" si="174"/>
        <v>0</v>
      </c>
      <c r="W1118" s="170"/>
      <c r="X1118" s="170"/>
      <c r="Y1118" s="173">
        <f t="shared" si="175"/>
        <v>5677.8946146078761</v>
      </c>
      <c r="AA1118" s="173">
        <f t="shared" si="179"/>
        <v>646.1</v>
      </c>
      <c r="AH1118" s="173" t="e">
        <f t="shared" si="180"/>
        <v>#N/A</v>
      </c>
      <c r="AS1118" s="173" t="e">
        <f t="shared" si="181"/>
        <v>#N/A</v>
      </c>
      <c r="DT1118" s="144"/>
      <c r="DU1118" s="144"/>
      <c r="DV1118" s="144"/>
      <c r="EJ1118" s="145"/>
      <c r="ES1118" s="146"/>
      <c r="FV1118" s="147"/>
      <c r="GL1118" s="148"/>
    </row>
    <row r="1119" spans="1:194" s="173" customFormat="1" ht="36" customHeight="1" x14ac:dyDescent="0.9">
      <c r="B1119" s="90" t="s">
        <v>911</v>
      </c>
      <c r="C1119" s="195"/>
      <c r="D1119" s="185" t="s">
        <v>915</v>
      </c>
      <c r="E1119" s="185" t="s">
        <v>915</v>
      </c>
      <c r="F1119" s="185" t="s">
        <v>915</v>
      </c>
      <c r="G1119" s="185" t="s">
        <v>915</v>
      </c>
      <c r="H1119" s="185" t="s">
        <v>915</v>
      </c>
      <c r="I1119" s="186">
        <f>SUM(I1120:I1121)</f>
        <v>1532.1</v>
      </c>
      <c r="J1119" s="186">
        <f t="shared" ref="J1119:L1119" si="182">SUM(J1120:J1121)</f>
        <v>1325.8000000000002</v>
      </c>
      <c r="K1119" s="186">
        <f t="shared" si="182"/>
        <v>1325.8000000000002</v>
      </c>
      <c r="L1119" s="187">
        <f t="shared" si="182"/>
        <v>39</v>
      </c>
      <c r="M1119" s="185" t="s">
        <v>915</v>
      </c>
      <c r="N1119" s="185" t="s">
        <v>915</v>
      </c>
      <c r="O1119" s="188" t="s">
        <v>915</v>
      </c>
      <c r="P1119" s="189">
        <v>3916350</v>
      </c>
      <c r="Q1119" s="189">
        <f>SUM(Q1120:Q1121)</f>
        <v>0</v>
      </c>
      <c r="R1119" s="189">
        <f t="shared" ref="R1119:S1119" si="183">SUM(R1120:R1121)</f>
        <v>0</v>
      </c>
      <c r="S1119" s="189">
        <f t="shared" si="183"/>
        <v>3916350</v>
      </c>
      <c r="T1119" s="189">
        <f t="shared" si="178"/>
        <v>2556.1973761503818</v>
      </c>
      <c r="U1119" s="189">
        <f>MAX(U1120:U1121)</f>
        <v>4197.399662731872</v>
      </c>
      <c r="V1119" s="170">
        <f t="shared" si="174"/>
        <v>1641.2022865814902</v>
      </c>
      <c r="W1119" s="170"/>
      <c r="X1119" s="170"/>
      <c r="Y1119" s="173" t="e">
        <f t="shared" si="175"/>
        <v>#N/A</v>
      </c>
      <c r="AA1119" s="173" t="e">
        <f t="shared" si="179"/>
        <v>#N/A</v>
      </c>
      <c r="AH1119" s="173" t="e">
        <f t="shared" si="180"/>
        <v>#N/A</v>
      </c>
      <c r="AS1119" s="173" t="e">
        <f t="shared" si="181"/>
        <v>#N/A</v>
      </c>
    </row>
    <row r="1120" spans="1:194" s="142" customFormat="1" ht="36" customHeight="1" x14ac:dyDescent="0.9">
      <c r="A1120" s="173">
        <v>1</v>
      </c>
      <c r="B1120" s="91">
        <f>SUBTOTAL(103,$A$957:A1120)</f>
        <v>145</v>
      </c>
      <c r="C1120" s="201" t="s">
        <v>1742</v>
      </c>
      <c r="D1120" s="185">
        <v>1984</v>
      </c>
      <c r="E1120" s="185"/>
      <c r="F1120" s="203" t="s">
        <v>319</v>
      </c>
      <c r="G1120" s="185">
        <v>2</v>
      </c>
      <c r="H1120" s="185">
        <v>2</v>
      </c>
      <c r="I1120" s="186">
        <v>998.4</v>
      </c>
      <c r="J1120" s="186">
        <v>805.1</v>
      </c>
      <c r="K1120" s="186">
        <v>805.1</v>
      </c>
      <c r="L1120" s="202">
        <v>19</v>
      </c>
      <c r="M1120" s="185" t="s">
        <v>271</v>
      </c>
      <c r="N1120" s="185" t="s">
        <v>272</v>
      </c>
      <c r="O1120" s="185" t="s">
        <v>274</v>
      </c>
      <c r="P1120" s="186">
        <v>2035617.4</v>
      </c>
      <c r="Q1120" s="186">
        <v>0</v>
      </c>
      <c r="R1120" s="186">
        <v>0</v>
      </c>
      <c r="S1120" s="186">
        <f>P1120-Q1120-R1120</f>
        <v>2035617.4</v>
      </c>
      <c r="T1120" s="189">
        <f t="shared" ref="T1120" si="184">P1120/I1120</f>
        <v>2038.8796073717949</v>
      </c>
      <c r="U1120" s="189">
        <v>2447.71875</v>
      </c>
      <c r="V1120" s="170">
        <f t="shared" ref="V1120" si="185">U1120-T1120</f>
        <v>408.83914262820508</v>
      </c>
      <c r="W1120" s="170"/>
      <c r="X1120" s="170"/>
      <c r="Y1120" s="173" t="e">
        <f t="shared" ref="Y1120" si="186">AA1120*5221.8/I1120</f>
        <v>#N/A</v>
      </c>
      <c r="AA1120" s="173" t="e">
        <f t="shared" si="179"/>
        <v>#N/A</v>
      </c>
      <c r="AH1120" s="173" t="e">
        <f t="shared" si="180"/>
        <v>#N/A</v>
      </c>
      <c r="AS1120" s="173" t="e">
        <f t="shared" si="181"/>
        <v>#N/A</v>
      </c>
      <c r="DT1120" s="144"/>
      <c r="DU1120" s="144"/>
      <c r="DV1120" s="144"/>
      <c r="EJ1120" s="145"/>
      <c r="ES1120" s="146"/>
      <c r="FV1120" s="147"/>
      <c r="GL1120" s="148"/>
    </row>
    <row r="1121" spans="1:194" s="142" customFormat="1" ht="36" customHeight="1" x14ac:dyDescent="0.9">
      <c r="A1121" s="173">
        <v>1</v>
      </c>
      <c r="B1121" s="91">
        <f>SUBTOTAL(103,$A$957:A1121)</f>
        <v>146</v>
      </c>
      <c r="C1121" s="201" t="s">
        <v>1743</v>
      </c>
      <c r="D1121" s="185">
        <v>1982</v>
      </c>
      <c r="E1121" s="185"/>
      <c r="F1121" s="203" t="s">
        <v>273</v>
      </c>
      <c r="G1121" s="185">
        <v>2</v>
      </c>
      <c r="H1121" s="185">
        <v>2</v>
      </c>
      <c r="I1121" s="186">
        <v>533.70000000000005</v>
      </c>
      <c r="J1121" s="186">
        <v>520.70000000000005</v>
      </c>
      <c r="K1121" s="186">
        <v>520.70000000000005</v>
      </c>
      <c r="L1121" s="202">
        <v>20</v>
      </c>
      <c r="M1121" s="185" t="s">
        <v>271</v>
      </c>
      <c r="N1121" s="185" t="s">
        <v>272</v>
      </c>
      <c r="O1121" s="185" t="s">
        <v>274</v>
      </c>
      <c r="P1121" s="186">
        <v>1880732.6</v>
      </c>
      <c r="Q1121" s="186">
        <v>0</v>
      </c>
      <c r="R1121" s="186">
        <v>0</v>
      </c>
      <c r="S1121" s="186">
        <f>P1121-Q1121-R1121</f>
        <v>1880732.6</v>
      </c>
      <c r="T1121" s="189">
        <f t="shared" si="178"/>
        <v>3523.9509087502342</v>
      </c>
      <c r="U1121" s="189">
        <v>4197.399662731872</v>
      </c>
      <c r="V1121" s="170">
        <f t="shared" si="174"/>
        <v>673.44875398163776</v>
      </c>
      <c r="W1121" s="170"/>
      <c r="X1121" s="170"/>
      <c r="Y1121" s="173" t="e">
        <f t="shared" si="175"/>
        <v>#N/A</v>
      </c>
      <c r="AA1121" s="173" t="e">
        <f t="shared" si="179"/>
        <v>#N/A</v>
      </c>
      <c r="AH1121" s="173" t="e">
        <f t="shared" si="180"/>
        <v>#N/A</v>
      </c>
      <c r="AS1121" s="173" t="e">
        <f t="shared" si="181"/>
        <v>#N/A</v>
      </c>
      <c r="DT1121" s="144"/>
      <c r="DU1121" s="144"/>
      <c r="DV1121" s="144"/>
      <c r="EJ1121" s="145"/>
      <c r="ES1121" s="146"/>
      <c r="FV1121" s="147"/>
      <c r="GL1121" s="148"/>
    </row>
    <row r="1122" spans="1:194" s="173" customFormat="1" ht="36" customHeight="1" x14ac:dyDescent="0.9">
      <c r="B1122" s="90" t="s">
        <v>853</v>
      </c>
      <c r="C1122" s="192"/>
      <c r="D1122" s="185" t="s">
        <v>915</v>
      </c>
      <c r="E1122" s="185" t="s">
        <v>915</v>
      </c>
      <c r="F1122" s="185" t="s">
        <v>915</v>
      </c>
      <c r="G1122" s="185" t="s">
        <v>915</v>
      </c>
      <c r="H1122" s="185" t="s">
        <v>915</v>
      </c>
      <c r="I1122" s="186">
        <f>SUM(I1123:I1124)</f>
        <v>2184</v>
      </c>
      <c r="J1122" s="186">
        <f>SUM(J1123:J1124)</f>
        <v>1641.1</v>
      </c>
      <c r="K1122" s="186">
        <f>SUM(K1123:K1124)</f>
        <v>1606.7</v>
      </c>
      <c r="L1122" s="187">
        <f>SUM(L1123:L1124)</f>
        <v>57</v>
      </c>
      <c r="M1122" s="185" t="s">
        <v>915</v>
      </c>
      <c r="N1122" s="185" t="s">
        <v>915</v>
      </c>
      <c r="O1122" s="188" t="s">
        <v>915</v>
      </c>
      <c r="P1122" s="189">
        <v>3516578.96</v>
      </c>
      <c r="Q1122" s="189">
        <f>Q1123+Q1124</f>
        <v>0</v>
      </c>
      <c r="R1122" s="189">
        <f>R1123+R1124</f>
        <v>0</v>
      </c>
      <c r="S1122" s="189">
        <f>S1123+S1124</f>
        <v>3516578.96</v>
      </c>
      <c r="T1122" s="189">
        <f t="shared" si="178"/>
        <v>1610.1552014652013</v>
      </c>
      <c r="U1122" s="189">
        <f>MAX(U1123:U1124)</f>
        <v>3526.9829517778867</v>
      </c>
      <c r="V1122" s="170">
        <f t="shared" si="174"/>
        <v>1916.8277503126853</v>
      </c>
      <c r="W1122" s="170"/>
      <c r="X1122" s="170"/>
      <c r="Y1122" s="173" t="e">
        <f t="shared" si="175"/>
        <v>#N/A</v>
      </c>
      <c r="AA1122" s="173" t="e">
        <f t="shared" si="179"/>
        <v>#N/A</v>
      </c>
      <c r="AH1122" s="173" t="e">
        <f t="shared" si="180"/>
        <v>#N/A</v>
      </c>
      <c r="AS1122" s="173" t="e">
        <f t="shared" si="181"/>
        <v>#N/A</v>
      </c>
    </row>
    <row r="1123" spans="1:194" s="142" customFormat="1" ht="36" customHeight="1" x14ac:dyDescent="0.9">
      <c r="A1123" s="173">
        <v>1</v>
      </c>
      <c r="B1123" s="91">
        <f>SUBTOTAL(103,$A$957:A1123)</f>
        <v>147</v>
      </c>
      <c r="C1123" s="201" t="s">
        <v>719</v>
      </c>
      <c r="D1123" s="185">
        <v>1962</v>
      </c>
      <c r="E1123" s="185"/>
      <c r="F1123" s="203" t="s">
        <v>273</v>
      </c>
      <c r="G1123" s="185">
        <v>5</v>
      </c>
      <c r="H1123" s="185">
        <v>2</v>
      </c>
      <c r="I1123" s="186">
        <v>1568.1</v>
      </c>
      <c r="J1123" s="186">
        <v>1273.0999999999999</v>
      </c>
      <c r="K1123" s="186">
        <v>1238.7</v>
      </c>
      <c r="L1123" s="202">
        <v>45</v>
      </c>
      <c r="M1123" s="185" t="s">
        <v>271</v>
      </c>
      <c r="N1123" s="185" t="s">
        <v>275</v>
      </c>
      <c r="O1123" s="185" t="s">
        <v>752</v>
      </c>
      <c r="P1123" s="186">
        <v>1913529.37</v>
      </c>
      <c r="Q1123" s="186">
        <v>0</v>
      </c>
      <c r="R1123" s="186">
        <v>0</v>
      </c>
      <c r="S1123" s="186">
        <f>P1123-Q1123-R1123</f>
        <v>1913529.37</v>
      </c>
      <c r="T1123" s="189">
        <f t="shared" si="178"/>
        <v>1220.2852943052103</v>
      </c>
      <c r="U1123" s="189">
        <f>Y1123</f>
        <v>1465.2075760474461</v>
      </c>
      <c r="V1123" s="170">
        <f t="shared" si="174"/>
        <v>244.92228174223578</v>
      </c>
      <c r="W1123" s="170"/>
      <c r="X1123" s="170"/>
      <c r="Y1123" s="173">
        <f t="shared" si="175"/>
        <v>1465.2075760474461</v>
      </c>
      <c r="AA1123" s="173">
        <f t="shared" si="179"/>
        <v>440</v>
      </c>
      <c r="AH1123" s="173" t="e">
        <f t="shared" si="180"/>
        <v>#N/A</v>
      </c>
      <c r="AS1123" s="173" t="e">
        <f t="shared" si="181"/>
        <v>#N/A</v>
      </c>
      <c r="DT1123" s="144"/>
      <c r="DU1123" s="144"/>
      <c r="DV1123" s="144"/>
      <c r="EJ1123" s="145"/>
      <c r="ES1123" s="146"/>
      <c r="FV1123" s="147"/>
      <c r="GL1123" s="148"/>
    </row>
    <row r="1124" spans="1:194" s="142" customFormat="1" ht="36" customHeight="1" x14ac:dyDescent="0.9">
      <c r="A1124" s="173">
        <v>1</v>
      </c>
      <c r="B1124" s="91">
        <f>SUBTOTAL(103,$A$957:A1124)</f>
        <v>148</v>
      </c>
      <c r="C1124" s="201" t="s">
        <v>717</v>
      </c>
      <c r="D1124" s="185">
        <v>1988</v>
      </c>
      <c r="E1124" s="185" t="s">
        <v>754</v>
      </c>
      <c r="F1124" s="203" t="s">
        <v>273</v>
      </c>
      <c r="G1124" s="185">
        <v>2</v>
      </c>
      <c r="H1124" s="185">
        <v>1</v>
      </c>
      <c r="I1124" s="186">
        <v>615.9</v>
      </c>
      <c r="J1124" s="186">
        <v>368</v>
      </c>
      <c r="K1124" s="186">
        <v>368</v>
      </c>
      <c r="L1124" s="202">
        <v>12</v>
      </c>
      <c r="M1124" s="185" t="s">
        <v>271</v>
      </c>
      <c r="N1124" s="185" t="s">
        <v>275</v>
      </c>
      <c r="O1124" s="185" t="s">
        <v>752</v>
      </c>
      <c r="P1124" s="186">
        <v>1603049.59</v>
      </c>
      <c r="Q1124" s="186">
        <v>0</v>
      </c>
      <c r="R1124" s="186">
        <v>0</v>
      </c>
      <c r="S1124" s="186">
        <f>P1124-Q1124-R1124</f>
        <v>1603049.59</v>
      </c>
      <c r="T1124" s="189">
        <f t="shared" si="178"/>
        <v>2602.7757590517945</v>
      </c>
      <c r="U1124" s="189">
        <f>Y1124</f>
        <v>3526.9829517778867</v>
      </c>
      <c r="V1124" s="170">
        <f t="shared" si="174"/>
        <v>924.20719272609222</v>
      </c>
      <c r="W1124" s="170"/>
      <c r="X1124" s="170"/>
      <c r="Y1124" s="173">
        <f t="shared" si="175"/>
        <v>3526.9829517778867</v>
      </c>
      <c r="AA1124" s="173">
        <f t="shared" si="179"/>
        <v>416</v>
      </c>
      <c r="AH1124" s="173" t="e">
        <f t="shared" si="180"/>
        <v>#N/A</v>
      </c>
      <c r="AS1124" s="173" t="e">
        <f t="shared" si="181"/>
        <v>#N/A</v>
      </c>
      <c r="DT1124" s="144"/>
      <c r="DU1124" s="144"/>
      <c r="DV1124" s="144"/>
      <c r="EJ1124" s="145"/>
      <c r="ES1124" s="146"/>
      <c r="FV1124" s="147"/>
      <c r="GL1124" s="148"/>
    </row>
    <row r="1125" spans="1:194" s="173" customFormat="1" ht="36" customHeight="1" x14ac:dyDescent="0.9">
      <c r="B1125" s="90" t="s">
        <v>895</v>
      </c>
      <c r="C1125" s="90"/>
      <c r="D1125" s="185" t="s">
        <v>915</v>
      </c>
      <c r="E1125" s="185" t="s">
        <v>915</v>
      </c>
      <c r="F1125" s="185" t="s">
        <v>915</v>
      </c>
      <c r="G1125" s="185" t="s">
        <v>915</v>
      </c>
      <c r="H1125" s="185" t="s">
        <v>915</v>
      </c>
      <c r="I1125" s="186">
        <f>I1126</f>
        <v>1069.5</v>
      </c>
      <c r="J1125" s="186">
        <f>J1126</f>
        <v>1035.2</v>
      </c>
      <c r="K1125" s="186">
        <f>K1126</f>
        <v>1035.2</v>
      </c>
      <c r="L1125" s="187">
        <f>L1126</f>
        <v>39</v>
      </c>
      <c r="M1125" s="185" t="s">
        <v>915</v>
      </c>
      <c r="N1125" s="185" t="s">
        <v>915</v>
      </c>
      <c r="O1125" s="188" t="s">
        <v>915</v>
      </c>
      <c r="P1125" s="189">
        <v>3598749.4899999998</v>
      </c>
      <c r="Q1125" s="189">
        <f>Q1126</f>
        <v>0</v>
      </c>
      <c r="R1125" s="189">
        <f>R1126</f>
        <v>0</v>
      </c>
      <c r="S1125" s="189">
        <f>S1126</f>
        <v>3598749.4899999998</v>
      </c>
      <c r="T1125" s="189">
        <f t="shared" si="178"/>
        <v>3364.8896587190275</v>
      </c>
      <c r="U1125" s="189">
        <f>U1126</f>
        <v>4764.3127068723697</v>
      </c>
      <c r="V1125" s="170">
        <f t="shared" ref="V1125:V1188" si="187">U1125-T1125</f>
        <v>1399.4230481533423</v>
      </c>
      <c r="W1125" s="170"/>
      <c r="X1125" s="170"/>
      <c r="Y1125" s="173" t="e">
        <f t="shared" ref="Y1125:Y1188" si="188">AA1125*5221.8/I1125</f>
        <v>#N/A</v>
      </c>
      <c r="AA1125" s="173" t="e">
        <f t="shared" si="179"/>
        <v>#N/A</v>
      </c>
      <c r="AH1125" s="173" t="e">
        <f t="shared" si="180"/>
        <v>#N/A</v>
      </c>
      <c r="AS1125" s="173" t="e">
        <f t="shared" si="181"/>
        <v>#N/A</v>
      </c>
    </row>
    <row r="1126" spans="1:194" s="142" customFormat="1" ht="36" customHeight="1" x14ac:dyDescent="0.9">
      <c r="A1126" s="173">
        <v>1</v>
      </c>
      <c r="B1126" s="91">
        <f>SUBTOTAL(103,$A$957:A1126)</f>
        <v>149</v>
      </c>
      <c r="C1126" s="201" t="s">
        <v>725</v>
      </c>
      <c r="D1126" s="185">
        <v>1995</v>
      </c>
      <c r="E1126" s="185"/>
      <c r="F1126" s="203" t="s">
        <v>273</v>
      </c>
      <c r="G1126" s="185">
        <v>2</v>
      </c>
      <c r="H1126" s="185">
        <v>2</v>
      </c>
      <c r="I1126" s="186">
        <v>1069.5</v>
      </c>
      <c r="J1126" s="186">
        <v>1035.2</v>
      </c>
      <c r="K1126" s="186">
        <v>1035.2</v>
      </c>
      <c r="L1126" s="202">
        <v>39</v>
      </c>
      <c r="M1126" s="185" t="s">
        <v>271</v>
      </c>
      <c r="N1126" s="185" t="s">
        <v>272</v>
      </c>
      <c r="O1126" s="185" t="s">
        <v>274</v>
      </c>
      <c r="P1126" s="186">
        <v>3598749.4899999998</v>
      </c>
      <c r="Q1126" s="186">
        <v>0</v>
      </c>
      <c r="R1126" s="186">
        <v>0</v>
      </c>
      <c r="S1126" s="186">
        <f>P1126-Q1126-R1126</f>
        <v>3598749.4899999998</v>
      </c>
      <c r="T1126" s="189">
        <f t="shared" si="178"/>
        <v>3364.8896587190275</v>
      </c>
      <c r="U1126" s="189">
        <f>Y1126</f>
        <v>4764.3127068723697</v>
      </c>
      <c r="V1126" s="170">
        <f t="shared" si="187"/>
        <v>1399.4230481533423</v>
      </c>
      <c r="W1126" s="170"/>
      <c r="X1126" s="170"/>
      <c r="Y1126" s="173">
        <f t="shared" si="188"/>
        <v>4764.3127068723697</v>
      </c>
      <c r="AA1126" s="173">
        <f t="shared" si="179"/>
        <v>975.8</v>
      </c>
      <c r="AH1126" s="173" t="e">
        <f t="shared" si="180"/>
        <v>#N/A</v>
      </c>
      <c r="AS1126" s="173" t="e">
        <f t="shared" si="181"/>
        <v>#N/A</v>
      </c>
      <c r="DT1126" s="144"/>
      <c r="DU1126" s="144"/>
      <c r="DV1126" s="144"/>
      <c r="EJ1126" s="145"/>
      <c r="ES1126" s="146"/>
      <c r="FV1126" s="147"/>
      <c r="GL1126" s="148"/>
    </row>
    <row r="1127" spans="1:194" s="173" customFormat="1" ht="36" customHeight="1" x14ac:dyDescent="0.9">
      <c r="B1127" s="90" t="s">
        <v>855</v>
      </c>
      <c r="C1127" s="90"/>
      <c r="D1127" s="185" t="s">
        <v>915</v>
      </c>
      <c r="E1127" s="185" t="s">
        <v>915</v>
      </c>
      <c r="F1127" s="185" t="s">
        <v>915</v>
      </c>
      <c r="G1127" s="185" t="s">
        <v>915</v>
      </c>
      <c r="H1127" s="185" t="s">
        <v>915</v>
      </c>
      <c r="I1127" s="186">
        <f>I1128</f>
        <v>630</v>
      </c>
      <c r="J1127" s="186">
        <f>J1128</f>
        <v>576.1</v>
      </c>
      <c r="K1127" s="186">
        <f>K1128</f>
        <v>576.1</v>
      </c>
      <c r="L1127" s="187">
        <f>L1128</f>
        <v>32</v>
      </c>
      <c r="M1127" s="185" t="s">
        <v>915</v>
      </c>
      <c r="N1127" s="185" t="s">
        <v>915</v>
      </c>
      <c r="O1127" s="188" t="s">
        <v>915</v>
      </c>
      <c r="P1127" s="189">
        <v>3488946.79</v>
      </c>
      <c r="Q1127" s="189">
        <f>Q1128</f>
        <v>0</v>
      </c>
      <c r="R1127" s="189">
        <f>R1128</f>
        <v>0</v>
      </c>
      <c r="S1127" s="189">
        <f>S1128</f>
        <v>3488946.79</v>
      </c>
      <c r="T1127" s="189">
        <f t="shared" si="178"/>
        <v>5538.0107777777775</v>
      </c>
      <c r="U1127" s="189">
        <f>U1128</f>
        <v>7832.7</v>
      </c>
      <c r="V1127" s="170">
        <f t="shared" si="187"/>
        <v>2294.6892222222223</v>
      </c>
      <c r="W1127" s="170"/>
      <c r="X1127" s="170"/>
      <c r="Y1127" s="173" t="e">
        <f t="shared" si="188"/>
        <v>#N/A</v>
      </c>
      <c r="AA1127" s="173" t="e">
        <f t="shared" si="179"/>
        <v>#N/A</v>
      </c>
      <c r="AH1127" s="173" t="e">
        <f t="shared" si="180"/>
        <v>#N/A</v>
      </c>
      <c r="AS1127" s="173" t="e">
        <f t="shared" si="181"/>
        <v>#N/A</v>
      </c>
    </row>
    <row r="1128" spans="1:194" s="142" customFormat="1" ht="36" customHeight="1" x14ac:dyDescent="0.9">
      <c r="A1128" s="173">
        <v>1</v>
      </c>
      <c r="B1128" s="91">
        <f>SUBTOTAL(103,$A$957:A1128)</f>
        <v>150</v>
      </c>
      <c r="C1128" s="201" t="s">
        <v>723</v>
      </c>
      <c r="D1128" s="185">
        <v>1987</v>
      </c>
      <c r="E1128" s="185"/>
      <c r="F1128" s="203" t="s">
        <v>273</v>
      </c>
      <c r="G1128" s="185">
        <v>2</v>
      </c>
      <c r="H1128" s="185">
        <v>2</v>
      </c>
      <c r="I1128" s="186">
        <v>630</v>
      </c>
      <c r="J1128" s="186">
        <v>576.1</v>
      </c>
      <c r="K1128" s="186">
        <v>576.1</v>
      </c>
      <c r="L1128" s="202">
        <v>32</v>
      </c>
      <c r="M1128" s="185" t="s">
        <v>271</v>
      </c>
      <c r="N1128" s="185" t="s">
        <v>272</v>
      </c>
      <c r="O1128" s="185" t="s">
        <v>274</v>
      </c>
      <c r="P1128" s="186">
        <v>3488946.79</v>
      </c>
      <c r="Q1128" s="186">
        <v>0</v>
      </c>
      <c r="R1128" s="186">
        <v>0</v>
      </c>
      <c r="S1128" s="186">
        <f>P1128-Q1128-R1128</f>
        <v>3488946.79</v>
      </c>
      <c r="T1128" s="189">
        <f t="shared" si="178"/>
        <v>5538.0107777777775</v>
      </c>
      <c r="U1128" s="189">
        <f>Y1128</f>
        <v>7832.7</v>
      </c>
      <c r="V1128" s="170">
        <f t="shared" si="187"/>
        <v>2294.6892222222223</v>
      </c>
      <c r="W1128" s="170"/>
      <c r="X1128" s="170"/>
      <c r="Y1128" s="173">
        <f t="shared" si="188"/>
        <v>7832.7</v>
      </c>
      <c r="AA1128" s="173">
        <f t="shared" si="179"/>
        <v>945</v>
      </c>
      <c r="AH1128" s="173" t="e">
        <f t="shared" si="180"/>
        <v>#N/A</v>
      </c>
      <c r="AS1128" s="173" t="e">
        <f t="shared" si="181"/>
        <v>#N/A</v>
      </c>
      <c r="DT1128" s="144"/>
      <c r="DU1128" s="144"/>
      <c r="DV1128" s="144"/>
      <c r="EJ1128" s="145"/>
      <c r="ES1128" s="146"/>
      <c r="FV1128" s="147"/>
      <c r="GL1128" s="148"/>
    </row>
    <row r="1129" spans="1:194" s="173" customFormat="1" ht="36" customHeight="1" x14ac:dyDescent="0.9">
      <c r="B1129" s="90" t="s">
        <v>912</v>
      </c>
      <c r="C1129" s="90"/>
      <c r="D1129" s="185" t="s">
        <v>915</v>
      </c>
      <c r="E1129" s="185" t="s">
        <v>915</v>
      </c>
      <c r="F1129" s="185" t="s">
        <v>915</v>
      </c>
      <c r="G1129" s="185" t="s">
        <v>915</v>
      </c>
      <c r="H1129" s="185" t="s">
        <v>915</v>
      </c>
      <c r="I1129" s="186">
        <f>I1130</f>
        <v>626.5</v>
      </c>
      <c r="J1129" s="186">
        <f>J1130</f>
        <v>568.5</v>
      </c>
      <c r="K1129" s="186">
        <f>K1130</f>
        <v>568.5</v>
      </c>
      <c r="L1129" s="187">
        <f>L1130</f>
        <v>23</v>
      </c>
      <c r="M1129" s="185" t="s">
        <v>915</v>
      </c>
      <c r="N1129" s="185" t="s">
        <v>915</v>
      </c>
      <c r="O1129" s="188" t="s">
        <v>915</v>
      </c>
      <c r="P1129" s="189">
        <v>1538879.17</v>
      </c>
      <c r="Q1129" s="189">
        <f>Q1130</f>
        <v>0</v>
      </c>
      <c r="R1129" s="189">
        <f>R1130</f>
        <v>0</v>
      </c>
      <c r="S1129" s="189">
        <f>S1130</f>
        <v>1538879.17</v>
      </c>
      <c r="T1129" s="189">
        <f t="shared" si="178"/>
        <v>2456.31152434158</v>
      </c>
      <c r="U1129" s="189">
        <f>U1130</f>
        <v>3317.2807661612133</v>
      </c>
      <c r="V1129" s="170">
        <f t="shared" si="187"/>
        <v>860.96924181963323</v>
      </c>
      <c r="W1129" s="170"/>
      <c r="X1129" s="170"/>
      <c r="Y1129" s="173" t="e">
        <f t="shared" si="188"/>
        <v>#N/A</v>
      </c>
      <c r="AA1129" s="173" t="e">
        <f t="shared" si="179"/>
        <v>#N/A</v>
      </c>
      <c r="AH1129" s="173" t="e">
        <f t="shared" si="180"/>
        <v>#N/A</v>
      </c>
      <c r="AS1129" s="173" t="e">
        <f t="shared" si="181"/>
        <v>#N/A</v>
      </c>
    </row>
    <row r="1130" spans="1:194" s="142" customFormat="1" ht="36" customHeight="1" x14ac:dyDescent="0.9">
      <c r="A1130" s="173">
        <v>1</v>
      </c>
      <c r="B1130" s="91">
        <f>SUBTOTAL(103,$A$957:A1130)</f>
        <v>151</v>
      </c>
      <c r="C1130" s="201" t="s">
        <v>720</v>
      </c>
      <c r="D1130" s="185">
        <v>1978</v>
      </c>
      <c r="E1130" s="185"/>
      <c r="F1130" s="203" t="s">
        <v>273</v>
      </c>
      <c r="G1130" s="185">
        <v>2</v>
      </c>
      <c r="H1130" s="185">
        <v>2</v>
      </c>
      <c r="I1130" s="186">
        <v>626.5</v>
      </c>
      <c r="J1130" s="186">
        <v>568.5</v>
      </c>
      <c r="K1130" s="186">
        <v>568.5</v>
      </c>
      <c r="L1130" s="202">
        <v>23</v>
      </c>
      <c r="M1130" s="185" t="s">
        <v>271</v>
      </c>
      <c r="N1130" s="185" t="s">
        <v>272</v>
      </c>
      <c r="O1130" s="185" t="s">
        <v>274</v>
      </c>
      <c r="P1130" s="186">
        <v>1538879.17</v>
      </c>
      <c r="Q1130" s="186">
        <v>0</v>
      </c>
      <c r="R1130" s="186">
        <v>0</v>
      </c>
      <c r="S1130" s="186">
        <f>P1130-Q1130-R1130</f>
        <v>1538879.17</v>
      </c>
      <c r="T1130" s="189">
        <f t="shared" si="178"/>
        <v>2456.31152434158</v>
      </c>
      <c r="U1130" s="189">
        <f>Y1130</f>
        <v>3317.2807661612133</v>
      </c>
      <c r="V1130" s="170">
        <f t="shared" si="187"/>
        <v>860.96924181963323</v>
      </c>
      <c r="W1130" s="170"/>
      <c r="X1130" s="170"/>
      <c r="Y1130" s="173">
        <f t="shared" si="188"/>
        <v>3317.2807661612133</v>
      </c>
      <c r="AA1130" s="173">
        <f t="shared" si="179"/>
        <v>398</v>
      </c>
      <c r="AH1130" s="173" t="e">
        <f t="shared" si="180"/>
        <v>#N/A</v>
      </c>
      <c r="AS1130" s="173" t="e">
        <f t="shared" si="181"/>
        <v>#N/A</v>
      </c>
      <c r="DT1130" s="144"/>
      <c r="DU1130" s="144"/>
      <c r="DV1130" s="144"/>
      <c r="EJ1130" s="145"/>
      <c r="ES1130" s="146"/>
      <c r="FV1130" s="147"/>
      <c r="GL1130" s="148"/>
    </row>
    <row r="1131" spans="1:194" s="173" customFormat="1" ht="36" customHeight="1" x14ac:dyDescent="0.9">
      <c r="B1131" s="90" t="s">
        <v>856</v>
      </c>
      <c r="C1131" s="192"/>
      <c r="D1131" s="185" t="s">
        <v>915</v>
      </c>
      <c r="E1131" s="185" t="s">
        <v>915</v>
      </c>
      <c r="F1131" s="185" t="s">
        <v>915</v>
      </c>
      <c r="G1131" s="185" t="s">
        <v>915</v>
      </c>
      <c r="H1131" s="185" t="s">
        <v>915</v>
      </c>
      <c r="I1131" s="186">
        <f>SUM(I1132:I1137)</f>
        <v>14681.960000000001</v>
      </c>
      <c r="J1131" s="186">
        <f>SUM(J1132:J1137)</f>
        <v>10898.48</v>
      </c>
      <c r="K1131" s="186">
        <f>SUM(K1132:K1137)</f>
        <v>10621.810000000001</v>
      </c>
      <c r="L1131" s="187">
        <f>SUM(L1132:L1137)</f>
        <v>477</v>
      </c>
      <c r="M1131" s="185" t="s">
        <v>915</v>
      </c>
      <c r="N1131" s="185" t="s">
        <v>915</v>
      </c>
      <c r="O1131" s="188" t="s">
        <v>915</v>
      </c>
      <c r="P1131" s="186">
        <v>29368928.999999996</v>
      </c>
      <c r="Q1131" s="186">
        <f>SUM(Q1132:Q1137)</f>
        <v>0</v>
      </c>
      <c r="R1131" s="186">
        <f>SUM(R1132:R1137)</f>
        <v>0</v>
      </c>
      <c r="S1131" s="186">
        <f>SUM(S1132:S1137)</f>
        <v>29368928.999999996</v>
      </c>
      <c r="T1131" s="189">
        <f t="shared" si="178"/>
        <v>2000.3411669831544</v>
      </c>
      <c r="U1131" s="189">
        <f>MAX(U1132:U1137)</f>
        <v>4965.2271457950001</v>
      </c>
      <c r="V1131" s="170">
        <f t="shared" si="187"/>
        <v>2964.8859788118457</v>
      </c>
      <c r="W1131" s="170"/>
      <c r="X1131" s="170"/>
      <c r="Y1131" s="173" t="e">
        <f t="shared" si="188"/>
        <v>#N/A</v>
      </c>
      <c r="AA1131" s="173" t="e">
        <f t="shared" si="179"/>
        <v>#N/A</v>
      </c>
      <c r="AH1131" s="173" t="e">
        <f t="shared" si="180"/>
        <v>#N/A</v>
      </c>
      <c r="AS1131" s="173" t="e">
        <f t="shared" si="181"/>
        <v>#N/A</v>
      </c>
    </row>
    <row r="1132" spans="1:194" s="142" customFormat="1" ht="36" customHeight="1" x14ac:dyDescent="0.9">
      <c r="A1132" s="173">
        <v>1</v>
      </c>
      <c r="B1132" s="91">
        <f>SUBTOTAL(103,$A$957:A1132)</f>
        <v>152</v>
      </c>
      <c r="C1132" s="201" t="s">
        <v>135</v>
      </c>
      <c r="D1132" s="185">
        <v>1994</v>
      </c>
      <c r="E1132" s="185"/>
      <c r="F1132" s="203" t="s">
        <v>273</v>
      </c>
      <c r="G1132" s="185">
        <v>4</v>
      </c>
      <c r="H1132" s="185">
        <v>4</v>
      </c>
      <c r="I1132" s="186">
        <v>3731.88</v>
      </c>
      <c r="J1132" s="186">
        <v>2769.88</v>
      </c>
      <c r="K1132" s="186">
        <v>2769</v>
      </c>
      <c r="L1132" s="202">
        <v>112</v>
      </c>
      <c r="M1132" s="185" t="s">
        <v>271</v>
      </c>
      <c r="N1132" s="185" t="s">
        <v>275</v>
      </c>
      <c r="O1132" s="185" t="s">
        <v>290</v>
      </c>
      <c r="P1132" s="186">
        <v>6533531.75</v>
      </c>
      <c r="Q1132" s="186">
        <v>0</v>
      </c>
      <c r="R1132" s="186">
        <v>0</v>
      </c>
      <c r="S1132" s="186">
        <f t="shared" ref="S1132:S1137" si="189">P1132-Q1132-R1132</f>
        <v>6533531.75</v>
      </c>
      <c r="T1132" s="189">
        <f t="shared" si="178"/>
        <v>1750.7346833231506</v>
      </c>
      <c r="U1132" s="189">
        <f t="shared" ref="U1132:U1137" si="190">T1132</f>
        <v>1750.7346833231506</v>
      </c>
      <c r="V1132" s="170">
        <f t="shared" si="187"/>
        <v>0</v>
      </c>
      <c r="W1132" s="170"/>
      <c r="X1132" s="170"/>
      <c r="Y1132" s="173">
        <f t="shared" si="188"/>
        <v>1644.1083314576031</v>
      </c>
      <c r="AA1132" s="173">
        <f t="shared" si="179"/>
        <v>1175</v>
      </c>
      <c r="AH1132" s="173" t="e">
        <f t="shared" si="180"/>
        <v>#N/A</v>
      </c>
      <c r="AS1132" s="173" t="e">
        <f t="shared" si="181"/>
        <v>#N/A</v>
      </c>
      <c r="DT1132" s="144"/>
      <c r="DU1132" s="144"/>
      <c r="DV1132" s="144"/>
      <c r="EJ1132" s="145"/>
      <c r="ES1132" s="146"/>
      <c r="FV1132" s="147"/>
      <c r="GL1132" s="148"/>
    </row>
    <row r="1133" spans="1:194" s="142" customFormat="1" ht="36" customHeight="1" x14ac:dyDescent="0.9">
      <c r="A1133" s="173">
        <v>1</v>
      </c>
      <c r="B1133" s="91">
        <f>SUBTOTAL(103,$A$957:A1133)</f>
        <v>153</v>
      </c>
      <c r="C1133" s="201" t="s">
        <v>132</v>
      </c>
      <c r="D1133" s="185">
        <v>1992</v>
      </c>
      <c r="E1133" s="185"/>
      <c r="F1133" s="203" t="s">
        <v>273</v>
      </c>
      <c r="G1133" s="185">
        <v>2</v>
      </c>
      <c r="H1133" s="185">
        <v>3</v>
      </c>
      <c r="I1133" s="186">
        <v>1621.8</v>
      </c>
      <c r="J1133" s="186">
        <v>965.3</v>
      </c>
      <c r="K1133" s="186">
        <v>915.9</v>
      </c>
      <c r="L1133" s="202">
        <v>39</v>
      </c>
      <c r="M1133" s="185" t="s">
        <v>271</v>
      </c>
      <c r="N1133" s="185" t="s">
        <v>275</v>
      </c>
      <c r="O1133" s="185" t="s">
        <v>290</v>
      </c>
      <c r="P1133" s="186">
        <v>5163742.3999999994</v>
      </c>
      <c r="Q1133" s="186">
        <v>0</v>
      </c>
      <c r="R1133" s="186">
        <v>0</v>
      </c>
      <c r="S1133" s="186">
        <f t="shared" si="189"/>
        <v>5163742.3999999994</v>
      </c>
      <c r="T1133" s="189">
        <f t="shared" si="178"/>
        <v>3183.9575779997531</v>
      </c>
      <c r="U1133" s="189">
        <f t="shared" si="190"/>
        <v>3183.9575779997531</v>
      </c>
      <c r="V1133" s="170">
        <f t="shared" si="187"/>
        <v>0</v>
      </c>
      <c r="W1133" s="170"/>
      <c r="X1133" s="170"/>
      <c r="Y1133" s="173">
        <f t="shared" si="188"/>
        <v>2408.3773584905662</v>
      </c>
      <c r="AA1133" s="173">
        <f t="shared" si="179"/>
        <v>748</v>
      </c>
      <c r="AH1133" s="173" t="e">
        <f t="shared" si="180"/>
        <v>#N/A</v>
      </c>
      <c r="AS1133" s="173" t="e">
        <f t="shared" si="181"/>
        <v>#N/A</v>
      </c>
      <c r="DT1133" s="144"/>
      <c r="DU1133" s="144"/>
      <c r="DV1133" s="144"/>
      <c r="EJ1133" s="145"/>
      <c r="ES1133" s="146"/>
      <c r="FV1133" s="147"/>
      <c r="GL1133" s="148"/>
    </row>
    <row r="1134" spans="1:194" s="142" customFormat="1" ht="36" customHeight="1" x14ac:dyDescent="0.9">
      <c r="A1134" s="173">
        <v>1</v>
      </c>
      <c r="B1134" s="91">
        <f>SUBTOTAL(103,$A$957:A1134)</f>
        <v>154</v>
      </c>
      <c r="C1134" s="201" t="s">
        <v>137</v>
      </c>
      <c r="D1134" s="185">
        <v>1986</v>
      </c>
      <c r="E1134" s="185"/>
      <c r="F1134" s="203" t="s">
        <v>273</v>
      </c>
      <c r="G1134" s="185">
        <v>2</v>
      </c>
      <c r="H1134" s="185">
        <v>3</v>
      </c>
      <c r="I1134" s="186">
        <v>923.9</v>
      </c>
      <c r="J1134" s="186">
        <v>841.9</v>
      </c>
      <c r="K1134" s="186">
        <v>646.1</v>
      </c>
      <c r="L1134" s="202">
        <v>47</v>
      </c>
      <c r="M1134" s="185" t="s">
        <v>271</v>
      </c>
      <c r="N1134" s="185" t="s">
        <v>275</v>
      </c>
      <c r="O1134" s="185" t="s">
        <v>290</v>
      </c>
      <c r="P1134" s="186">
        <v>4587373.3600000003</v>
      </c>
      <c r="Q1134" s="186">
        <v>0</v>
      </c>
      <c r="R1134" s="186">
        <v>0</v>
      </c>
      <c r="S1134" s="186">
        <f t="shared" si="189"/>
        <v>4587373.3600000003</v>
      </c>
      <c r="T1134" s="189">
        <f t="shared" si="178"/>
        <v>4965.2271457950001</v>
      </c>
      <c r="U1134" s="189">
        <f t="shared" si="190"/>
        <v>4965.2271457950001</v>
      </c>
      <c r="V1134" s="170">
        <f t="shared" si="187"/>
        <v>0</v>
      </c>
      <c r="W1134" s="170"/>
      <c r="X1134" s="170"/>
      <c r="Y1134" s="173">
        <f t="shared" si="188"/>
        <v>4662.8260634267781</v>
      </c>
      <c r="AA1134" s="173">
        <f t="shared" si="179"/>
        <v>825</v>
      </c>
      <c r="AH1134" s="173" t="e">
        <f t="shared" si="180"/>
        <v>#N/A</v>
      </c>
      <c r="AS1134" s="173" t="e">
        <f t="shared" si="181"/>
        <v>#N/A</v>
      </c>
      <c r="DT1134" s="144"/>
      <c r="DU1134" s="144"/>
      <c r="DV1134" s="144"/>
      <c r="EJ1134" s="145"/>
      <c r="ES1134" s="146"/>
      <c r="FV1134" s="147"/>
      <c r="GL1134" s="148"/>
    </row>
    <row r="1135" spans="1:194" s="142" customFormat="1" ht="36" customHeight="1" x14ac:dyDescent="0.9">
      <c r="A1135" s="173">
        <v>1</v>
      </c>
      <c r="B1135" s="91">
        <f>SUBTOTAL(103,$A$957:A1135)</f>
        <v>155</v>
      </c>
      <c r="C1135" s="201" t="s">
        <v>133</v>
      </c>
      <c r="D1135" s="185">
        <v>1972</v>
      </c>
      <c r="E1135" s="185"/>
      <c r="F1135" s="203" t="s">
        <v>273</v>
      </c>
      <c r="G1135" s="185">
        <v>5</v>
      </c>
      <c r="H1135" s="185">
        <v>4</v>
      </c>
      <c r="I1135" s="186">
        <v>3740.78</v>
      </c>
      <c r="J1135" s="186">
        <v>2819.9</v>
      </c>
      <c r="K1135" s="186">
        <v>2819.7</v>
      </c>
      <c r="L1135" s="202">
        <v>124</v>
      </c>
      <c r="M1135" s="185" t="s">
        <v>271</v>
      </c>
      <c r="N1135" s="185" t="s">
        <v>275</v>
      </c>
      <c r="O1135" s="185" t="s">
        <v>291</v>
      </c>
      <c r="P1135" s="186">
        <v>5599375.7199999997</v>
      </c>
      <c r="Q1135" s="186">
        <v>0</v>
      </c>
      <c r="R1135" s="186">
        <v>0</v>
      </c>
      <c r="S1135" s="186">
        <f t="shared" si="189"/>
        <v>5599375.7199999997</v>
      </c>
      <c r="T1135" s="189">
        <f t="shared" si="178"/>
        <v>1496.8471067531368</v>
      </c>
      <c r="U1135" s="189">
        <f t="shared" si="190"/>
        <v>1496.8471067531368</v>
      </c>
      <c r="V1135" s="170">
        <f t="shared" si="187"/>
        <v>0</v>
      </c>
      <c r="W1135" s="170"/>
      <c r="X1135" s="170"/>
      <c r="Y1135" s="173">
        <f t="shared" si="188"/>
        <v>1405.683467084405</v>
      </c>
      <c r="AA1135" s="173">
        <f t="shared" si="179"/>
        <v>1007</v>
      </c>
      <c r="AH1135" s="173" t="e">
        <f t="shared" si="180"/>
        <v>#N/A</v>
      </c>
      <c r="AS1135" s="173" t="e">
        <f t="shared" si="181"/>
        <v>#N/A</v>
      </c>
      <c r="DT1135" s="144"/>
      <c r="DU1135" s="144"/>
      <c r="DV1135" s="144"/>
      <c r="EJ1135" s="145"/>
      <c r="ES1135" s="146"/>
      <c r="FV1135" s="147"/>
      <c r="GL1135" s="148"/>
    </row>
    <row r="1136" spans="1:194" s="142" customFormat="1" ht="36" customHeight="1" x14ac:dyDescent="0.9">
      <c r="A1136" s="173">
        <v>1</v>
      </c>
      <c r="B1136" s="91">
        <f>SUBTOTAL(103,$A$957:A1136)</f>
        <v>156</v>
      </c>
      <c r="C1136" s="201" t="s">
        <v>134</v>
      </c>
      <c r="D1136" s="185">
        <v>1979</v>
      </c>
      <c r="E1136" s="185"/>
      <c r="F1136" s="203" t="s">
        <v>273</v>
      </c>
      <c r="G1136" s="185">
        <v>5</v>
      </c>
      <c r="H1136" s="185">
        <v>4</v>
      </c>
      <c r="I1136" s="186">
        <v>4025.6</v>
      </c>
      <c r="J1136" s="186">
        <v>3076</v>
      </c>
      <c r="K1136" s="186">
        <v>3076</v>
      </c>
      <c r="L1136" s="202">
        <v>133</v>
      </c>
      <c r="M1136" s="185" t="s">
        <v>271</v>
      </c>
      <c r="N1136" s="185" t="s">
        <v>275</v>
      </c>
      <c r="O1136" s="185" t="s">
        <v>291</v>
      </c>
      <c r="P1136" s="186">
        <v>4480243.62</v>
      </c>
      <c r="Q1136" s="186">
        <v>0</v>
      </c>
      <c r="R1136" s="186">
        <v>0</v>
      </c>
      <c r="S1136" s="186">
        <f t="shared" si="189"/>
        <v>4480243.62</v>
      </c>
      <c r="T1136" s="189">
        <f t="shared" si="178"/>
        <v>1112.9381011526232</v>
      </c>
      <c r="U1136" s="189">
        <f t="shared" si="190"/>
        <v>1112.9381011526232</v>
      </c>
      <c r="V1136" s="170">
        <f t="shared" si="187"/>
        <v>0</v>
      </c>
      <c r="W1136" s="170"/>
      <c r="X1136" s="170"/>
      <c r="Y1136" s="173">
        <f t="shared" si="188"/>
        <v>1002.1767388712242</v>
      </c>
      <c r="AA1136" s="173">
        <f t="shared" si="179"/>
        <v>772.6</v>
      </c>
      <c r="AH1136" s="173" t="e">
        <f t="shared" si="180"/>
        <v>#N/A</v>
      </c>
      <c r="AS1136" s="173" t="e">
        <f t="shared" si="181"/>
        <v>#N/A</v>
      </c>
      <c r="DT1136" s="144"/>
      <c r="DU1136" s="144"/>
      <c r="DV1136" s="144"/>
      <c r="EJ1136" s="145"/>
      <c r="ES1136" s="146"/>
      <c r="FV1136" s="147"/>
      <c r="GL1136" s="148"/>
    </row>
    <row r="1137" spans="1:194" s="142" customFormat="1" ht="36" customHeight="1" x14ac:dyDescent="0.9">
      <c r="A1137" s="173">
        <v>1</v>
      </c>
      <c r="B1137" s="91">
        <f>SUBTOTAL(103,$A$957:A1137)</f>
        <v>157</v>
      </c>
      <c r="C1137" s="201" t="s">
        <v>1641</v>
      </c>
      <c r="D1137" s="185">
        <v>1967</v>
      </c>
      <c r="E1137" s="185"/>
      <c r="F1137" s="203" t="s">
        <v>326</v>
      </c>
      <c r="G1137" s="185">
        <v>2</v>
      </c>
      <c r="H1137" s="185">
        <v>2</v>
      </c>
      <c r="I1137" s="186">
        <v>638</v>
      </c>
      <c r="J1137" s="186">
        <v>425.5</v>
      </c>
      <c r="K1137" s="186">
        <f>J1137-30.39</f>
        <v>395.11</v>
      </c>
      <c r="L1137" s="202">
        <v>22</v>
      </c>
      <c r="M1137" s="185" t="s">
        <v>271</v>
      </c>
      <c r="N1137" s="185" t="s">
        <v>275</v>
      </c>
      <c r="O1137" s="185" t="s">
        <v>1627</v>
      </c>
      <c r="P1137" s="186">
        <v>3004662.15</v>
      </c>
      <c r="Q1137" s="186">
        <v>0</v>
      </c>
      <c r="R1137" s="186">
        <v>0</v>
      </c>
      <c r="S1137" s="186">
        <f t="shared" si="189"/>
        <v>3004662.15</v>
      </c>
      <c r="T1137" s="189">
        <f t="shared" si="178"/>
        <v>4709.5018025078371</v>
      </c>
      <c r="U1137" s="189">
        <f t="shared" si="190"/>
        <v>4709.5018025078371</v>
      </c>
      <c r="V1137" s="170">
        <f t="shared" si="187"/>
        <v>0</v>
      </c>
      <c r="W1137" s="170"/>
      <c r="X1137" s="170"/>
      <c r="Y1137" s="173" t="e">
        <f t="shared" si="188"/>
        <v>#N/A</v>
      </c>
      <c r="AA1137" s="173" t="e">
        <f t="shared" si="179"/>
        <v>#N/A</v>
      </c>
      <c r="AH1137" s="173" t="e">
        <f t="shared" si="180"/>
        <v>#N/A</v>
      </c>
      <c r="AS1137" s="173" t="e">
        <f t="shared" si="181"/>
        <v>#N/A</v>
      </c>
      <c r="DT1137" s="174"/>
      <c r="DU1137" s="174"/>
      <c r="DV1137" s="174"/>
      <c r="EJ1137" s="145"/>
      <c r="ES1137" s="146"/>
      <c r="FV1137" s="147"/>
      <c r="GL1137" s="148"/>
    </row>
    <row r="1138" spans="1:194" s="173" customFormat="1" ht="36" customHeight="1" x14ac:dyDescent="0.9">
      <c r="B1138" s="90" t="s">
        <v>862</v>
      </c>
      <c r="C1138" s="192"/>
      <c r="D1138" s="185" t="s">
        <v>915</v>
      </c>
      <c r="E1138" s="185" t="s">
        <v>915</v>
      </c>
      <c r="F1138" s="185" t="s">
        <v>915</v>
      </c>
      <c r="G1138" s="185" t="s">
        <v>915</v>
      </c>
      <c r="H1138" s="185" t="s">
        <v>915</v>
      </c>
      <c r="I1138" s="186">
        <f>SUM(I1139:I1140)</f>
        <v>1573</v>
      </c>
      <c r="J1138" s="186">
        <f>SUM(J1139:J1140)</f>
        <v>1423.2</v>
      </c>
      <c r="K1138" s="186">
        <f>SUM(K1139:K1140)</f>
        <v>1423.2</v>
      </c>
      <c r="L1138" s="187">
        <f>SUM(L1139:L1140)</f>
        <v>68</v>
      </c>
      <c r="M1138" s="185" t="s">
        <v>915</v>
      </c>
      <c r="N1138" s="185" t="s">
        <v>915</v>
      </c>
      <c r="O1138" s="188" t="s">
        <v>915</v>
      </c>
      <c r="P1138" s="189">
        <v>5777967.8699999992</v>
      </c>
      <c r="Q1138" s="189">
        <f>Q1139+Q1140</f>
        <v>0</v>
      </c>
      <c r="R1138" s="189">
        <f>R1139+R1140</f>
        <v>0</v>
      </c>
      <c r="S1138" s="189">
        <f>S1139+S1140</f>
        <v>5777967.8699999992</v>
      </c>
      <c r="T1138" s="189">
        <f t="shared" si="178"/>
        <v>3673.2154291163379</v>
      </c>
      <c r="U1138" s="189">
        <f>MAX(U1139:U1140)</f>
        <v>4787.775402583613</v>
      </c>
      <c r="V1138" s="170">
        <f t="shared" si="187"/>
        <v>1114.5599734672751</v>
      </c>
      <c r="W1138" s="170"/>
      <c r="X1138" s="170"/>
      <c r="Y1138" s="173" t="e">
        <f t="shared" si="188"/>
        <v>#N/A</v>
      </c>
      <c r="AA1138" s="173" t="e">
        <f t="shared" si="179"/>
        <v>#N/A</v>
      </c>
      <c r="AH1138" s="173" t="e">
        <f t="shared" si="180"/>
        <v>#N/A</v>
      </c>
      <c r="AS1138" s="173" t="e">
        <f t="shared" si="181"/>
        <v>#N/A</v>
      </c>
    </row>
    <row r="1139" spans="1:194" s="142" customFormat="1" ht="36" customHeight="1" x14ac:dyDescent="0.9">
      <c r="A1139" s="173">
        <v>1</v>
      </c>
      <c r="B1139" s="91">
        <f>SUBTOTAL(103,$A$957:A1139)</f>
        <v>158</v>
      </c>
      <c r="C1139" s="201" t="s">
        <v>182</v>
      </c>
      <c r="D1139" s="185">
        <v>1985</v>
      </c>
      <c r="E1139" s="185">
        <v>2009</v>
      </c>
      <c r="F1139" s="203" t="s">
        <v>273</v>
      </c>
      <c r="G1139" s="185">
        <v>2</v>
      </c>
      <c r="H1139" s="185">
        <v>3</v>
      </c>
      <c r="I1139" s="186">
        <v>958.4</v>
      </c>
      <c r="J1139" s="186">
        <v>858.1</v>
      </c>
      <c r="K1139" s="186">
        <v>858.1</v>
      </c>
      <c r="L1139" s="202">
        <v>48</v>
      </c>
      <c r="M1139" s="185" t="s">
        <v>271</v>
      </c>
      <c r="N1139" s="185" t="s">
        <v>272</v>
      </c>
      <c r="O1139" s="185" t="s">
        <v>274</v>
      </c>
      <c r="P1139" s="186">
        <v>3457143.9</v>
      </c>
      <c r="Q1139" s="186">
        <v>0</v>
      </c>
      <c r="R1139" s="186">
        <v>0</v>
      </c>
      <c r="S1139" s="186">
        <f>P1139-Q1139-R1139</f>
        <v>3457143.9</v>
      </c>
      <c r="T1139" s="189">
        <f t="shared" si="178"/>
        <v>3607.2035684474122</v>
      </c>
      <c r="U1139" s="189">
        <f>T1139</f>
        <v>3607.2035684474122</v>
      </c>
      <c r="V1139" s="170">
        <f t="shared" si="187"/>
        <v>0</v>
      </c>
      <c r="W1139" s="170"/>
      <c r="X1139" s="170"/>
      <c r="Y1139" s="173">
        <f t="shared" si="188"/>
        <v>3432.5271285475792</v>
      </c>
      <c r="AA1139" s="173">
        <f t="shared" si="179"/>
        <v>630</v>
      </c>
      <c r="AH1139" s="173" t="e">
        <f t="shared" si="180"/>
        <v>#N/A</v>
      </c>
      <c r="AS1139" s="173" t="e">
        <f t="shared" si="181"/>
        <v>#N/A</v>
      </c>
      <c r="DT1139" s="144"/>
      <c r="DU1139" s="144"/>
      <c r="DV1139" s="144"/>
      <c r="EJ1139" s="145"/>
      <c r="ES1139" s="146"/>
      <c r="FV1139" s="147"/>
      <c r="GL1139" s="148"/>
    </row>
    <row r="1140" spans="1:194" s="142" customFormat="1" ht="36" customHeight="1" x14ac:dyDescent="0.9">
      <c r="A1140" s="173">
        <v>1</v>
      </c>
      <c r="B1140" s="91">
        <f>SUBTOTAL(103,$A$957:A1140)</f>
        <v>159</v>
      </c>
      <c r="C1140" s="201" t="s">
        <v>183</v>
      </c>
      <c r="D1140" s="185">
        <v>1961</v>
      </c>
      <c r="E1140" s="185">
        <v>2009</v>
      </c>
      <c r="F1140" s="203" t="s">
        <v>273</v>
      </c>
      <c r="G1140" s="185">
        <v>2</v>
      </c>
      <c r="H1140" s="185">
        <v>2</v>
      </c>
      <c r="I1140" s="186">
        <v>614.6</v>
      </c>
      <c r="J1140" s="186">
        <v>565.1</v>
      </c>
      <c r="K1140" s="186">
        <v>565.1</v>
      </c>
      <c r="L1140" s="202">
        <v>20</v>
      </c>
      <c r="M1140" s="185" t="s">
        <v>271</v>
      </c>
      <c r="N1140" s="185" t="s">
        <v>272</v>
      </c>
      <c r="O1140" s="185" t="s">
        <v>274</v>
      </c>
      <c r="P1140" s="186">
        <v>2320823.9699999997</v>
      </c>
      <c r="Q1140" s="186">
        <v>0</v>
      </c>
      <c r="R1140" s="186">
        <v>0</v>
      </c>
      <c r="S1140" s="186">
        <f>P1140-Q1140-R1140</f>
        <v>2320823.9699999997</v>
      </c>
      <c r="T1140" s="189">
        <f t="shared" si="178"/>
        <v>3776.153547022453</v>
      </c>
      <c r="U1140" s="189">
        <f>AG1140</f>
        <v>4787.775402583613</v>
      </c>
      <c r="V1140" s="170">
        <f t="shared" si="187"/>
        <v>1011.6218555611599</v>
      </c>
      <c r="W1140" s="170"/>
      <c r="X1140" s="170"/>
      <c r="Y1140" s="173" t="e">
        <f t="shared" si="188"/>
        <v>#N/A</v>
      </c>
      <c r="AA1140" s="173" t="e">
        <f t="shared" si="179"/>
        <v>#N/A</v>
      </c>
      <c r="AG1140" s="173">
        <f>AH1140*6191.24/J1140</f>
        <v>4787.775402583613</v>
      </c>
      <c r="AH1140" s="173">
        <f t="shared" si="180"/>
        <v>437</v>
      </c>
      <c r="AS1140" s="173" t="e">
        <f t="shared" si="181"/>
        <v>#N/A</v>
      </c>
      <c r="DT1140" s="144"/>
      <c r="DU1140" s="144"/>
      <c r="DV1140" s="144"/>
      <c r="EJ1140" s="145"/>
      <c r="ES1140" s="146"/>
      <c r="FV1140" s="147"/>
      <c r="GL1140" s="148"/>
    </row>
    <row r="1141" spans="1:194" s="173" customFormat="1" ht="36" customHeight="1" x14ac:dyDescent="0.9">
      <c r="B1141" s="90" t="s">
        <v>859</v>
      </c>
      <c r="C1141" s="90"/>
      <c r="D1141" s="185" t="s">
        <v>915</v>
      </c>
      <c r="E1141" s="185" t="s">
        <v>915</v>
      </c>
      <c r="F1141" s="185" t="s">
        <v>915</v>
      </c>
      <c r="G1141" s="185" t="s">
        <v>915</v>
      </c>
      <c r="H1141" s="185" t="s">
        <v>915</v>
      </c>
      <c r="I1141" s="186">
        <f>SUM(I1142:I1144)</f>
        <v>1266.2</v>
      </c>
      <c r="J1141" s="186">
        <f>SUM(J1142:J1144)</f>
        <v>1144.9000000000001</v>
      </c>
      <c r="K1141" s="186">
        <f>SUM(K1142:K1144)</f>
        <v>922.5</v>
      </c>
      <c r="L1141" s="187">
        <f>SUM(L1142:L1144)</f>
        <v>52</v>
      </c>
      <c r="M1141" s="185" t="s">
        <v>915</v>
      </c>
      <c r="N1141" s="185" t="s">
        <v>915</v>
      </c>
      <c r="O1141" s="188" t="s">
        <v>915</v>
      </c>
      <c r="P1141" s="189">
        <v>4715781.71</v>
      </c>
      <c r="Q1141" s="189">
        <f>Q1142+Q1143+Q1144</f>
        <v>0</v>
      </c>
      <c r="R1141" s="189">
        <f>R1142+R1143+R1144</f>
        <v>0</v>
      </c>
      <c r="S1141" s="189">
        <f>S1142+S1143+S1144</f>
        <v>4715781.71</v>
      </c>
      <c r="T1141" s="189">
        <f t="shared" si="178"/>
        <v>3724.3576923076921</v>
      </c>
      <c r="U1141" s="189">
        <f>MAX(U1142:U1144)</f>
        <v>5066.2751715374843</v>
      </c>
      <c r="V1141" s="170">
        <f t="shared" si="187"/>
        <v>1341.9174792297922</v>
      </c>
      <c r="W1141" s="170"/>
      <c r="X1141" s="170"/>
      <c r="Y1141" s="173" t="e">
        <f t="shared" si="188"/>
        <v>#N/A</v>
      </c>
      <c r="AA1141" s="173" t="e">
        <f t="shared" si="179"/>
        <v>#N/A</v>
      </c>
      <c r="AH1141" s="173" t="e">
        <f t="shared" si="180"/>
        <v>#N/A</v>
      </c>
      <c r="AS1141" s="173" t="e">
        <f t="shared" si="181"/>
        <v>#N/A</v>
      </c>
    </row>
    <row r="1142" spans="1:194" s="142" customFormat="1" ht="36" customHeight="1" x14ac:dyDescent="0.9">
      <c r="A1142" s="173">
        <v>1</v>
      </c>
      <c r="B1142" s="91">
        <f>SUBTOTAL(103,$A$957:A1142)</f>
        <v>160</v>
      </c>
      <c r="C1142" s="201" t="s">
        <v>817</v>
      </c>
      <c r="D1142" s="185">
        <v>1961</v>
      </c>
      <c r="E1142" s="185"/>
      <c r="F1142" s="203" t="s">
        <v>273</v>
      </c>
      <c r="G1142" s="185">
        <v>2</v>
      </c>
      <c r="H1142" s="185">
        <v>1</v>
      </c>
      <c r="I1142" s="186">
        <v>442.8</v>
      </c>
      <c r="J1142" s="186">
        <v>393.5</v>
      </c>
      <c r="K1142" s="186">
        <v>240.4</v>
      </c>
      <c r="L1142" s="202">
        <v>21</v>
      </c>
      <c r="M1142" s="185" t="s">
        <v>271</v>
      </c>
      <c r="N1142" s="185" t="s">
        <v>345</v>
      </c>
      <c r="O1142" s="185" t="s">
        <v>346</v>
      </c>
      <c r="P1142" s="186">
        <v>1710080.82</v>
      </c>
      <c r="Q1142" s="186">
        <v>0</v>
      </c>
      <c r="R1142" s="186">
        <v>0</v>
      </c>
      <c r="S1142" s="186">
        <f>P1142-Q1142-R1142</f>
        <v>1710080.82</v>
      </c>
      <c r="T1142" s="189">
        <f t="shared" si="178"/>
        <v>3861.9711382113824</v>
      </c>
      <c r="U1142" s="189">
        <f>AG1142</f>
        <v>5066.2751715374843</v>
      </c>
      <c r="V1142" s="170">
        <f t="shared" si="187"/>
        <v>1204.3040333261019</v>
      </c>
      <c r="W1142" s="170"/>
      <c r="X1142" s="170"/>
      <c r="Y1142" s="173" t="e">
        <f t="shared" si="188"/>
        <v>#N/A</v>
      </c>
      <c r="AA1142" s="173" t="e">
        <f t="shared" si="179"/>
        <v>#N/A</v>
      </c>
      <c r="AG1142" s="173">
        <f>AH1142*6191.24/J1142</f>
        <v>5066.2751715374843</v>
      </c>
      <c r="AH1142" s="173">
        <f t="shared" si="180"/>
        <v>322</v>
      </c>
      <c r="AS1142" s="173" t="e">
        <f t="shared" si="181"/>
        <v>#N/A</v>
      </c>
      <c r="DT1142" s="144"/>
      <c r="DU1142" s="144"/>
      <c r="DV1142" s="144"/>
      <c r="EJ1142" s="145"/>
      <c r="ES1142" s="146"/>
      <c r="FV1142" s="147"/>
      <c r="GL1142" s="148"/>
    </row>
    <row r="1143" spans="1:194" s="142" customFormat="1" ht="36" customHeight="1" x14ac:dyDescent="0.9">
      <c r="A1143" s="173">
        <v>1</v>
      </c>
      <c r="B1143" s="91">
        <f>SUBTOTAL(103,$A$957:A1143)</f>
        <v>161</v>
      </c>
      <c r="C1143" s="201" t="s">
        <v>187</v>
      </c>
      <c r="D1143" s="185">
        <v>1960</v>
      </c>
      <c r="E1143" s="185"/>
      <c r="F1143" s="203" t="s">
        <v>273</v>
      </c>
      <c r="G1143" s="185">
        <v>2</v>
      </c>
      <c r="H1143" s="185">
        <v>1</v>
      </c>
      <c r="I1143" s="186">
        <v>442.6</v>
      </c>
      <c r="J1143" s="186">
        <v>400.2</v>
      </c>
      <c r="K1143" s="186">
        <v>353.8</v>
      </c>
      <c r="L1143" s="202">
        <v>12</v>
      </c>
      <c r="M1143" s="185" t="s">
        <v>271</v>
      </c>
      <c r="N1143" s="185" t="s">
        <v>345</v>
      </c>
      <c r="O1143" s="185" t="s">
        <v>346</v>
      </c>
      <c r="P1143" s="186">
        <v>1452729.9</v>
      </c>
      <c r="Q1143" s="186">
        <v>0</v>
      </c>
      <c r="R1143" s="186">
        <v>0</v>
      </c>
      <c r="S1143" s="186">
        <f>P1143-Q1143-R1143</f>
        <v>1452729.9</v>
      </c>
      <c r="T1143" s="189">
        <f t="shared" si="178"/>
        <v>3282.2636692272927</v>
      </c>
      <c r="U1143" s="189">
        <f>T1143</f>
        <v>3282.2636692272927</v>
      </c>
      <c r="V1143" s="170">
        <f t="shared" si="187"/>
        <v>0</v>
      </c>
      <c r="W1143" s="170"/>
      <c r="X1143" s="170"/>
      <c r="Y1143" s="173">
        <f t="shared" si="188"/>
        <v>3067.483054676909</v>
      </c>
      <c r="AA1143" s="173">
        <f t="shared" si="179"/>
        <v>260</v>
      </c>
      <c r="AH1143" s="173" t="e">
        <f t="shared" si="180"/>
        <v>#N/A</v>
      </c>
      <c r="AS1143" s="173" t="e">
        <f t="shared" si="181"/>
        <v>#N/A</v>
      </c>
      <c r="DT1143" s="144"/>
      <c r="DU1143" s="144"/>
      <c r="DV1143" s="144"/>
      <c r="EJ1143" s="145"/>
      <c r="ES1143" s="146"/>
      <c r="FV1143" s="147"/>
      <c r="GL1143" s="148"/>
    </row>
    <row r="1144" spans="1:194" s="142" customFormat="1" ht="36" customHeight="1" x14ac:dyDescent="0.9">
      <c r="A1144" s="173">
        <v>1</v>
      </c>
      <c r="B1144" s="91">
        <f>SUBTOTAL(103,$A$957:A1144)</f>
        <v>162</v>
      </c>
      <c r="C1144" s="201" t="s">
        <v>184</v>
      </c>
      <c r="D1144" s="185">
        <v>1968</v>
      </c>
      <c r="E1144" s="185"/>
      <c r="F1144" s="203" t="s">
        <v>273</v>
      </c>
      <c r="G1144" s="185">
        <v>2</v>
      </c>
      <c r="H1144" s="185">
        <v>1</v>
      </c>
      <c r="I1144" s="186">
        <v>380.8</v>
      </c>
      <c r="J1144" s="186">
        <v>351.2</v>
      </c>
      <c r="K1144" s="186">
        <v>328.3</v>
      </c>
      <c r="L1144" s="202">
        <v>19</v>
      </c>
      <c r="M1144" s="185" t="s">
        <v>271</v>
      </c>
      <c r="N1144" s="185" t="s">
        <v>345</v>
      </c>
      <c r="O1144" s="185" t="s">
        <v>346</v>
      </c>
      <c r="P1144" s="186">
        <v>1552970.99</v>
      </c>
      <c r="Q1144" s="186">
        <v>0</v>
      </c>
      <c r="R1144" s="186">
        <v>0</v>
      </c>
      <c r="S1144" s="186">
        <f>P1144-Q1144-R1144</f>
        <v>1552970.99</v>
      </c>
      <c r="T1144" s="189">
        <f t="shared" si="178"/>
        <v>4078.180120798319</v>
      </c>
      <c r="U1144" s="189">
        <f>T1144</f>
        <v>4078.180120798319</v>
      </c>
      <c r="V1144" s="170">
        <f t="shared" si="187"/>
        <v>0</v>
      </c>
      <c r="W1144" s="170"/>
      <c r="X1144" s="170"/>
      <c r="Y1144" s="173">
        <f t="shared" si="188"/>
        <v>3880.696953781513</v>
      </c>
      <c r="AA1144" s="173">
        <f t="shared" si="179"/>
        <v>283</v>
      </c>
      <c r="AH1144" s="173" t="e">
        <f t="shared" si="180"/>
        <v>#N/A</v>
      </c>
      <c r="AS1144" s="173" t="e">
        <f t="shared" si="181"/>
        <v>#N/A</v>
      </c>
      <c r="DT1144" s="144"/>
      <c r="DU1144" s="144"/>
      <c r="DV1144" s="144"/>
      <c r="EJ1144" s="145"/>
      <c r="ES1144" s="146"/>
      <c r="FV1144" s="147"/>
      <c r="GL1144" s="148"/>
    </row>
    <row r="1145" spans="1:194" s="173" customFormat="1" ht="36" customHeight="1" x14ac:dyDescent="0.9">
      <c r="B1145" s="90" t="s">
        <v>860</v>
      </c>
      <c r="C1145" s="90"/>
      <c r="D1145" s="185" t="s">
        <v>915</v>
      </c>
      <c r="E1145" s="185" t="s">
        <v>915</v>
      </c>
      <c r="F1145" s="185" t="s">
        <v>915</v>
      </c>
      <c r="G1145" s="185" t="s">
        <v>915</v>
      </c>
      <c r="H1145" s="185" t="s">
        <v>915</v>
      </c>
      <c r="I1145" s="186">
        <f>SUM(I1146:I1147)</f>
        <v>665.5</v>
      </c>
      <c r="J1145" s="186">
        <f>SUM(J1146:J1147)</f>
        <v>608.5</v>
      </c>
      <c r="K1145" s="186">
        <f>SUM(K1146:K1147)</f>
        <v>430.2</v>
      </c>
      <c r="L1145" s="187">
        <f>SUM(L1146:L1147)</f>
        <v>51</v>
      </c>
      <c r="M1145" s="185" t="s">
        <v>915</v>
      </c>
      <c r="N1145" s="185" t="s">
        <v>915</v>
      </c>
      <c r="O1145" s="188" t="s">
        <v>915</v>
      </c>
      <c r="P1145" s="189">
        <v>2590114.16</v>
      </c>
      <c r="Q1145" s="189">
        <f>Q1146+Q1147</f>
        <v>0</v>
      </c>
      <c r="R1145" s="189">
        <f>R1146+R1147</f>
        <v>0</v>
      </c>
      <c r="S1145" s="189">
        <f>S1146+S1147</f>
        <v>2590114.16</v>
      </c>
      <c r="T1145" s="189">
        <f t="shared" si="178"/>
        <v>3891.9822088655151</v>
      </c>
      <c r="U1145" s="189">
        <f>T1145</f>
        <v>3891.9822088655151</v>
      </c>
      <c r="V1145" s="170">
        <f t="shared" si="187"/>
        <v>0</v>
      </c>
      <c r="W1145" s="170"/>
      <c r="X1145" s="170"/>
      <c r="Y1145" s="173" t="e">
        <f t="shared" si="188"/>
        <v>#N/A</v>
      </c>
      <c r="AA1145" s="173" t="e">
        <f t="shared" si="179"/>
        <v>#N/A</v>
      </c>
      <c r="AH1145" s="173" t="e">
        <f t="shared" si="180"/>
        <v>#N/A</v>
      </c>
      <c r="AS1145" s="173" t="e">
        <f t="shared" si="181"/>
        <v>#N/A</v>
      </c>
    </row>
    <row r="1146" spans="1:194" s="142" customFormat="1" ht="36" customHeight="1" x14ac:dyDescent="0.9">
      <c r="A1146" s="173">
        <v>1</v>
      </c>
      <c r="B1146" s="91">
        <f>SUBTOTAL(103,$A$957:A1146)</f>
        <v>163</v>
      </c>
      <c r="C1146" s="201" t="s">
        <v>1744</v>
      </c>
      <c r="D1146" s="185">
        <v>1968</v>
      </c>
      <c r="E1146" s="185"/>
      <c r="F1146" s="203" t="s">
        <v>273</v>
      </c>
      <c r="G1146" s="185">
        <v>2</v>
      </c>
      <c r="H1146" s="185">
        <v>1</v>
      </c>
      <c r="I1146" s="186">
        <v>322</v>
      </c>
      <c r="J1146" s="186">
        <v>293</v>
      </c>
      <c r="K1146" s="186">
        <v>114.7</v>
      </c>
      <c r="L1146" s="202">
        <v>30</v>
      </c>
      <c r="M1146" s="185" t="s">
        <v>271</v>
      </c>
      <c r="N1146" s="185" t="s">
        <v>345</v>
      </c>
      <c r="O1146" s="185" t="s">
        <v>347</v>
      </c>
      <c r="P1146" s="186">
        <v>1262131.9000000001</v>
      </c>
      <c r="Q1146" s="186">
        <v>0</v>
      </c>
      <c r="R1146" s="186">
        <v>0</v>
      </c>
      <c r="S1146" s="186">
        <f>P1146-Q1146-R1146</f>
        <v>1262131.9000000001</v>
      </c>
      <c r="T1146" s="189">
        <f t="shared" si="178"/>
        <v>3919.6642857142861</v>
      </c>
      <c r="U1146" s="189">
        <f>T1146</f>
        <v>3919.6642857142861</v>
      </c>
      <c r="V1146" s="170">
        <f t="shared" si="187"/>
        <v>0</v>
      </c>
      <c r="W1146" s="170"/>
      <c r="X1146" s="170"/>
      <c r="Y1146" s="173" t="e">
        <f t="shared" si="188"/>
        <v>#N/A</v>
      </c>
      <c r="AA1146" s="173" t="e">
        <f t="shared" si="179"/>
        <v>#N/A</v>
      </c>
      <c r="AH1146" s="173" t="e">
        <f t="shared" si="180"/>
        <v>#N/A</v>
      </c>
      <c r="AS1146" s="173" t="e">
        <f t="shared" si="181"/>
        <v>#N/A</v>
      </c>
      <c r="DT1146" s="144"/>
      <c r="DU1146" s="144"/>
      <c r="DV1146" s="144"/>
      <c r="EJ1146" s="145"/>
      <c r="ES1146" s="146"/>
      <c r="FV1146" s="147"/>
      <c r="GL1146" s="148"/>
    </row>
    <row r="1147" spans="1:194" s="142" customFormat="1" ht="36" customHeight="1" x14ac:dyDescent="0.9">
      <c r="A1147" s="173">
        <v>1</v>
      </c>
      <c r="B1147" s="91">
        <f>SUBTOTAL(103,$A$957:A1147)</f>
        <v>164</v>
      </c>
      <c r="C1147" s="201" t="s">
        <v>181</v>
      </c>
      <c r="D1147" s="185">
        <v>1970</v>
      </c>
      <c r="E1147" s="185"/>
      <c r="F1147" s="203" t="s">
        <v>273</v>
      </c>
      <c r="G1147" s="185">
        <v>2</v>
      </c>
      <c r="H1147" s="185">
        <v>1</v>
      </c>
      <c r="I1147" s="186">
        <v>343.5</v>
      </c>
      <c r="J1147" s="186">
        <v>315.5</v>
      </c>
      <c r="K1147" s="186">
        <v>315.5</v>
      </c>
      <c r="L1147" s="202">
        <v>21</v>
      </c>
      <c r="M1147" s="185" t="s">
        <v>271</v>
      </c>
      <c r="N1147" s="185" t="s">
        <v>345</v>
      </c>
      <c r="O1147" s="185" t="s">
        <v>347</v>
      </c>
      <c r="P1147" s="186">
        <v>1327982.26</v>
      </c>
      <c r="Q1147" s="186">
        <v>0</v>
      </c>
      <c r="R1147" s="186">
        <v>0</v>
      </c>
      <c r="S1147" s="186">
        <f>P1147-Q1147-R1147</f>
        <v>1327982.26</v>
      </c>
      <c r="T1147" s="189">
        <f t="shared" si="178"/>
        <v>3866.0327802037846</v>
      </c>
      <c r="U1147" s="189">
        <f>T1147</f>
        <v>3866.0327802037846</v>
      </c>
      <c r="V1147" s="170">
        <f t="shared" si="187"/>
        <v>0</v>
      </c>
      <c r="W1147" s="170"/>
      <c r="X1147" s="170"/>
      <c r="Y1147" s="173">
        <f t="shared" si="188"/>
        <v>3678.8227074235811</v>
      </c>
      <c r="AA1147" s="173">
        <f t="shared" si="179"/>
        <v>242</v>
      </c>
      <c r="AH1147" s="173" t="e">
        <f t="shared" si="180"/>
        <v>#N/A</v>
      </c>
      <c r="AS1147" s="173" t="e">
        <f t="shared" si="181"/>
        <v>#N/A</v>
      </c>
      <c r="DT1147" s="144"/>
      <c r="DU1147" s="144"/>
      <c r="DV1147" s="144"/>
      <c r="EJ1147" s="145"/>
      <c r="ES1147" s="146"/>
      <c r="FV1147" s="147"/>
      <c r="GL1147" s="148"/>
    </row>
    <row r="1148" spans="1:194" s="173" customFormat="1" ht="36" customHeight="1" x14ac:dyDescent="0.9">
      <c r="B1148" s="90" t="s">
        <v>861</v>
      </c>
      <c r="C1148" s="90"/>
      <c r="D1148" s="185" t="s">
        <v>915</v>
      </c>
      <c r="E1148" s="185" t="s">
        <v>915</v>
      </c>
      <c r="F1148" s="185" t="s">
        <v>915</v>
      </c>
      <c r="G1148" s="185" t="s">
        <v>915</v>
      </c>
      <c r="H1148" s="185" t="s">
        <v>915</v>
      </c>
      <c r="I1148" s="186">
        <f>I1149</f>
        <v>1217.2</v>
      </c>
      <c r="J1148" s="186">
        <f>J1149</f>
        <v>862.2</v>
      </c>
      <c r="K1148" s="186">
        <f>K1149</f>
        <v>862.2</v>
      </c>
      <c r="L1148" s="187">
        <f>L1149</f>
        <v>47</v>
      </c>
      <c r="M1148" s="185" t="s">
        <v>915</v>
      </c>
      <c r="N1148" s="185" t="s">
        <v>915</v>
      </c>
      <c r="O1148" s="188" t="s">
        <v>915</v>
      </c>
      <c r="P1148" s="189">
        <v>1456533.11</v>
      </c>
      <c r="Q1148" s="189">
        <f>Q1149</f>
        <v>0</v>
      </c>
      <c r="R1148" s="189">
        <f>R1149</f>
        <v>0</v>
      </c>
      <c r="S1148" s="189">
        <f>S1149</f>
        <v>1456533.11</v>
      </c>
      <c r="T1148" s="189">
        <f t="shared" si="178"/>
        <v>1196.6259530069012</v>
      </c>
      <c r="U1148" s="189">
        <f>U1149</f>
        <v>1201.2027604337825</v>
      </c>
      <c r="V1148" s="170">
        <f t="shared" si="187"/>
        <v>4.5768074268812597</v>
      </c>
      <c r="W1148" s="170"/>
      <c r="X1148" s="170"/>
      <c r="Y1148" s="173" t="e">
        <f t="shared" si="188"/>
        <v>#N/A</v>
      </c>
      <c r="AA1148" s="173" t="e">
        <f t="shared" si="179"/>
        <v>#N/A</v>
      </c>
      <c r="AH1148" s="173" t="e">
        <f t="shared" si="180"/>
        <v>#N/A</v>
      </c>
      <c r="AS1148" s="173" t="e">
        <f t="shared" si="181"/>
        <v>#N/A</v>
      </c>
    </row>
    <row r="1149" spans="1:194" s="142" customFormat="1" ht="36" customHeight="1" x14ac:dyDescent="0.9">
      <c r="A1149" s="173">
        <v>1</v>
      </c>
      <c r="B1149" s="91">
        <f>SUBTOTAL(103,$A$957:A1149)</f>
        <v>165</v>
      </c>
      <c r="C1149" s="201" t="s">
        <v>818</v>
      </c>
      <c r="D1149" s="185">
        <v>1980</v>
      </c>
      <c r="E1149" s="185"/>
      <c r="F1149" s="203" t="s">
        <v>273</v>
      </c>
      <c r="G1149" s="185">
        <v>2</v>
      </c>
      <c r="H1149" s="185">
        <v>3</v>
      </c>
      <c r="I1149" s="186">
        <v>1217.2</v>
      </c>
      <c r="J1149" s="186">
        <v>862.2</v>
      </c>
      <c r="K1149" s="186">
        <v>862.2</v>
      </c>
      <c r="L1149" s="202">
        <v>47</v>
      </c>
      <c r="M1149" s="185" t="s">
        <v>271</v>
      </c>
      <c r="N1149" s="185" t="s">
        <v>349</v>
      </c>
      <c r="O1149" s="185" t="s">
        <v>837</v>
      </c>
      <c r="P1149" s="186">
        <v>1456533.11</v>
      </c>
      <c r="Q1149" s="186">
        <v>0</v>
      </c>
      <c r="R1149" s="186">
        <v>0</v>
      </c>
      <c r="S1149" s="186">
        <f>P1149-Q1149-R1149</f>
        <v>1456533.11</v>
      </c>
      <c r="T1149" s="189">
        <f t="shared" si="178"/>
        <v>1196.6259530069012</v>
      </c>
      <c r="U1149" s="189">
        <f>Y1149</f>
        <v>1201.2027604337825</v>
      </c>
      <c r="V1149" s="170">
        <f t="shared" si="187"/>
        <v>4.5768074268812597</v>
      </c>
      <c r="W1149" s="170"/>
      <c r="X1149" s="170"/>
      <c r="Y1149" s="173">
        <f t="shared" si="188"/>
        <v>1201.2027604337825</v>
      </c>
      <c r="AA1149" s="173">
        <f t="shared" si="179"/>
        <v>280</v>
      </c>
      <c r="AH1149" s="173" t="e">
        <f t="shared" si="180"/>
        <v>#N/A</v>
      </c>
      <c r="AS1149" s="173" t="e">
        <f t="shared" si="181"/>
        <v>#N/A</v>
      </c>
      <c r="DT1149" s="144"/>
      <c r="DU1149" s="144"/>
      <c r="DV1149" s="144"/>
      <c r="EJ1149" s="145"/>
      <c r="ES1149" s="146"/>
      <c r="FV1149" s="147"/>
      <c r="GL1149" s="148"/>
    </row>
    <row r="1150" spans="1:194" s="173" customFormat="1" ht="36" customHeight="1" x14ac:dyDescent="0.9">
      <c r="B1150" s="90" t="s">
        <v>863</v>
      </c>
      <c r="C1150" s="192"/>
      <c r="D1150" s="185" t="s">
        <v>915</v>
      </c>
      <c r="E1150" s="185" t="s">
        <v>915</v>
      </c>
      <c r="F1150" s="185" t="s">
        <v>915</v>
      </c>
      <c r="G1150" s="185" t="s">
        <v>915</v>
      </c>
      <c r="H1150" s="185" t="s">
        <v>915</v>
      </c>
      <c r="I1150" s="186">
        <f>SUM(I1151:I1153)</f>
        <v>1774</v>
      </c>
      <c r="J1150" s="186">
        <f>SUM(J1151:J1153)</f>
        <v>1611</v>
      </c>
      <c r="K1150" s="186">
        <f>SUM(K1151:K1153)</f>
        <v>1526</v>
      </c>
      <c r="L1150" s="187">
        <f>SUM(L1151:L1153)</f>
        <v>80</v>
      </c>
      <c r="M1150" s="185" t="s">
        <v>915</v>
      </c>
      <c r="N1150" s="185" t="s">
        <v>915</v>
      </c>
      <c r="O1150" s="188" t="s">
        <v>915</v>
      </c>
      <c r="P1150" s="189">
        <v>10290828.25</v>
      </c>
      <c r="Q1150" s="189">
        <f>Q1151+Q1152+Q1153</f>
        <v>0</v>
      </c>
      <c r="R1150" s="189">
        <f>R1151+R1152+R1153</f>
        <v>0</v>
      </c>
      <c r="S1150" s="189">
        <f>S1151+S1152+S1153</f>
        <v>10290828.25</v>
      </c>
      <c r="T1150" s="189">
        <f t="shared" si="178"/>
        <v>5800.9178410372042</v>
      </c>
      <c r="U1150" s="189">
        <f>MAX(U1151:U1153)</f>
        <v>8509.8320138545278</v>
      </c>
      <c r="V1150" s="170">
        <f t="shared" si="187"/>
        <v>2708.9141728173236</v>
      </c>
      <c r="W1150" s="170"/>
      <c r="X1150" s="170"/>
      <c r="Y1150" s="173" t="e">
        <f t="shared" si="188"/>
        <v>#N/A</v>
      </c>
      <c r="AA1150" s="173" t="e">
        <f t="shared" si="179"/>
        <v>#N/A</v>
      </c>
      <c r="AH1150" s="173" t="e">
        <f t="shared" si="180"/>
        <v>#N/A</v>
      </c>
      <c r="AS1150" s="173" t="e">
        <f t="shared" si="181"/>
        <v>#N/A</v>
      </c>
    </row>
    <row r="1151" spans="1:194" s="142" customFormat="1" ht="36" customHeight="1" x14ac:dyDescent="0.9">
      <c r="A1151" s="173">
        <v>1</v>
      </c>
      <c r="B1151" s="91">
        <f>SUBTOTAL(103,$A$957:A1151)</f>
        <v>166</v>
      </c>
      <c r="C1151" s="201" t="s">
        <v>86</v>
      </c>
      <c r="D1151" s="185">
        <v>1952</v>
      </c>
      <c r="E1151" s="185"/>
      <c r="F1151" s="203" t="s">
        <v>273</v>
      </c>
      <c r="G1151" s="185">
        <v>2</v>
      </c>
      <c r="H1151" s="185">
        <v>2</v>
      </c>
      <c r="I1151" s="186">
        <v>744</v>
      </c>
      <c r="J1151" s="186">
        <v>670</v>
      </c>
      <c r="K1151" s="186">
        <v>617</v>
      </c>
      <c r="L1151" s="202">
        <v>23</v>
      </c>
      <c r="M1151" s="185" t="s">
        <v>271</v>
      </c>
      <c r="N1151" s="185" t="s">
        <v>272</v>
      </c>
      <c r="O1151" s="185" t="s">
        <v>274</v>
      </c>
      <c r="P1151" s="186">
        <v>3665226.5</v>
      </c>
      <c r="Q1151" s="186">
        <v>0</v>
      </c>
      <c r="R1151" s="186">
        <v>0</v>
      </c>
      <c r="S1151" s="186">
        <f>P1151-Q1151-R1151</f>
        <v>3665226.5</v>
      </c>
      <c r="T1151" s="189">
        <f t="shared" si="178"/>
        <v>4926.3797043010754</v>
      </c>
      <c r="U1151" s="189">
        <f>T1151</f>
        <v>4926.3797043010754</v>
      </c>
      <c r="V1151" s="170">
        <f t="shared" si="187"/>
        <v>0</v>
      </c>
      <c r="W1151" s="170"/>
      <c r="X1151" s="170"/>
      <c r="Y1151" s="173">
        <f t="shared" si="188"/>
        <v>4562.0564516129034</v>
      </c>
      <c r="AA1151" s="173">
        <f t="shared" si="179"/>
        <v>650</v>
      </c>
      <c r="AH1151" s="173" t="e">
        <f t="shared" si="180"/>
        <v>#N/A</v>
      </c>
      <c r="AS1151" s="173" t="e">
        <f t="shared" si="181"/>
        <v>#N/A</v>
      </c>
      <c r="DT1151" s="144"/>
      <c r="DU1151" s="144"/>
      <c r="DV1151" s="144"/>
      <c r="EJ1151" s="145"/>
      <c r="ES1151" s="146"/>
      <c r="FV1151" s="147"/>
      <c r="GL1151" s="148"/>
    </row>
    <row r="1152" spans="1:194" s="142" customFormat="1" ht="36" customHeight="1" x14ac:dyDescent="0.9">
      <c r="A1152" s="173">
        <v>1</v>
      </c>
      <c r="B1152" s="91">
        <f>SUBTOTAL(103,$A$957:A1152)</f>
        <v>167</v>
      </c>
      <c r="C1152" s="201" t="s">
        <v>87</v>
      </c>
      <c r="D1152" s="185">
        <v>1951</v>
      </c>
      <c r="E1152" s="185"/>
      <c r="F1152" s="203" t="s">
        <v>273</v>
      </c>
      <c r="G1152" s="185">
        <v>2</v>
      </c>
      <c r="H1152" s="185">
        <v>2</v>
      </c>
      <c r="I1152" s="186">
        <v>625.79999999999995</v>
      </c>
      <c r="J1152" s="186">
        <v>578</v>
      </c>
      <c r="K1152" s="186">
        <v>546</v>
      </c>
      <c r="L1152" s="202">
        <v>42</v>
      </c>
      <c r="M1152" s="185" t="s">
        <v>271</v>
      </c>
      <c r="N1152" s="185" t="s">
        <v>272</v>
      </c>
      <c r="O1152" s="185" t="s">
        <v>274</v>
      </c>
      <c r="P1152" s="186">
        <v>3185927.6500000004</v>
      </c>
      <c r="Q1152" s="186">
        <v>0</v>
      </c>
      <c r="R1152" s="186">
        <v>0</v>
      </c>
      <c r="S1152" s="186">
        <f>P1152-Q1152-R1152</f>
        <v>3185927.6500000004</v>
      </c>
      <c r="T1152" s="189">
        <f t="shared" si="178"/>
        <v>5090.9678012144468</v>
      </c>
      <c r="U1152" s="189">
        <f>T1152</f>
        <v>5090.9678012144468</v>
      </c>
      <c r="V1152" s="170">
        <f t="shared" si="187"/>
        <v>0</v>
      </c>
      <c r="W1152" s="170"/>
      <c r="X1152" s="170"/>
      <c r="Y1152" s="173">
        <f t="shared" si="188"/>
        <v>4714.4726749760312</v>
      </c>
      <c r="AA1152" s="173">
        <f t="shared" si="179"/>
        <v>565</v>
      </c>
      <c r="AH1152" s="173" t="e">
        <f t="shared" si="180"/>
        <v>#N/A</v>
      </c>
      <c r="AS1152" s="173" t="e">
        <f t="shared" si="181"/>
        <v>#N/A</v>
      </c>
      <c r="DT1152" s="144"/>
      <c r="DU1152" s="144"/>
      <c r="DV1152" s="144"/>
      <c r="EJ1152" s="145"/>
      <c r="ES1152" s="146"/>
      <c r="FV1152" s="147"/>
      <c r="GL1152" s="148"/>
    </row>
    <row r="1153" spans="1:194" s="142" customFormat="1" ht="36" customHeight="1" x14ac:dyDescent="0.9">
      <c r="A1153" s="173">
        <v>1</v>
      </c>
      <c r="B1153" s="91">
        <f>SUBTOTAL(103,$A$957:A1153)</f>
        <v>168</v>
      </c>
      <c r="C1153" s="201" t="s">
        <v>85</v>
      </c>
      <c r="D1153" s="185">
        <v>1951</v>
      </c>
      <c r="E1153" s="185"/>
      <c r="F1153" s="203" t="s">
        <v>273</v>
      </c>
      <c r="G1153" s="185">
        <v>2</v>
      </c>
      <c r="H1153" s="185">
        <v>2</v>
      </c>
      <c r="I1153" s="186">
        <v>404.2</v>
      </c>
      <c r="J1153" s="186">
        <v>363</v>
      </c>
      <c r="K1153" s="186">
        <v>363</v>
      </c>
      <c r="L1153" s="202">
        <v>15</v>
      </c>
      <c r="M1153" s="185" t="s">
        <v>271</v>
      </c>
      <c r="N1153" s="185" t="s">
        <v>272</v>
      </c>
      <c r="O1153" s="185" t="s">
        <v>274</v>
      </c>
      <c r="P1153" s="186">
        <v>3439674.1</v>
      </c>
      <c r="Q1153" s="186">
        <v>0</v>
      </c>
      <c r="R1153" s="186">
        <v>0</v>
      </c>
      <c r="S1153" s="186">
        <f>P1153-Q1153-R1153</f>
        <v>3439674.1</v>
      </c>
      <c r="T1153" s="189">
        <f t="shared" si="178"/>
        <v>8509.8320138545278</v>
      </c>
      <c r="U1153" s="189">
        <f>T1153</f>
        <v>8509.8320138545278</v>
      </c>
      <c r="V1153" s="170">
        <f t="shared" si="187"/>
        <v>0</v>
      </c>
      <c r="W1153" s="170"/>
      <c r="X1153" s="170"/>
      <c r="Y1153" s="173">
        <f t="shared" si="188"/>
        <v>7880.4997525977242</v>
      </c>
      <c r="AA1153" s="173">
        <f t="shared" si="179"/>
        <v>610</v>
      </c>
      <c r="AH1153" s="173" t="e">
        <f t="shared" si="180"/>
        <v>#N/A</v>
      </c>
      <c r="AS1153" s="173" t="e">
        <f t="shared" si="181"/>
        <v>#N/A</v>
      </c>
      <c r="DT1153" s="144"/>
      <c r="DU1153" s="144"/>
      <c r="DV1153" s="144"/>
      <c r="EJ1153" s="145"/>
      <c r="ES1153" s="146"/>
      <c r="FV1153" s="147"/>
      <c r="GL1153" s="148"/>
    </row>
    <row r="1154" spans="1:194" s="173" customFormat="1" ht="36" customHeight="1" x14ac:dyDescent="0.9">
      <c r="B1154" s="90" t="s">
        <v>864</v>
      </c>
      <c r="C1154" s="90"/>
      <c r="D1154" s="185" t="s">
        <v>915</v>
      </c>
      <c r="E1154" s="185" t="s">
        <v>915</v>
      </c>
      <c r="F1154" s="185" t="s">
        <v>915</v>
      </c>
      <c r="G1154" s="185" t="s">
        <v>915</v>
      </c>
      <c r="H1154" s="185" t="s">
        <v>915</v>
      </c>
      <c r="I1154" s="186">
        <f>I1155</f>
        <v>609</v>
      </c>
      <c r="J1154" s="186">
        <f>J1155</f>
        <v>609</v>
      </c>
      <c r="K1154" s="186">
        <f>K1155</f>
        <v>579</v>
      </c>
      <c r="L1154" s="187">
        <f>L1155</f>
        <v>31</v>
      </c>
      <c r="M1154" s="185" t="s">
        <v>915</v>
      </c>
      <c r="N1154" s="185" t="s">
        <v>915</v>
      </c>
      <c r="O1154" s="188" t="s">
        <v>915</v>
      </c>
      <c r="P1154" s="189">
        <v>3013803.8600000003</v>
      </c>
      <c r="Q1154" s="189">
        <f>Q1155</f>
        <v>0</v>
      </c>
      <c r="R1154" s="189">
        <f>R1155</f>
        <v>0</v>
      </c>
      <c r="S1154" s="189">
        <f>S1155</f>
        <v>3013803.8600000003</v>
      </c>
      <c r="T1154" s="189">
        <f t="shared" si="178"/>
        <v>4948.7748111658466</v>
      </c>
      <c r="U1154" s="189">
        <f>U1155</f>
        <v>5024.5891625615768</v>
      </c>
      <c r="V1154" s="170">
        <f t="shared" si="187"/>
        <v>75.814351395730228</v>
      </c>
      <c r="W1154" s="170"/>
      <c r="X1154" s="170"/>
      <c r="Y1154" s="173" t="e">
        <f t="shared" si="188"/>
        <v>#N/A</v>
      </c>
      <c r="AA1154" s="173" t="e">
        <f t="shared" si="179"/>
        <v>#N/A</v>
      </c>
      <c r="AH1154" s="173" t="e">
        <f t="shared" si="180"/>
        <v>#N/A</v>
      </c>
      <c r="AS1154" s="173" t="e">
        <f t="shared" si="181"/>
        <v>#N/A</v>
      </c>
    </row>
    <row r="1155" spans="1:194" s="142" customFormat="1" ht="36" customHeight="1" x14ac:dyDescent="0.9">
      <c r="A1155" s="173">
        <v>1</v>
      </c>
      <c r="B1155" s="91">
        <f>SUBTOTAL(103,$A$957:A1155)</f>
        <v>169</v>
      </c>
      <c r="C1155" s="201" t="s">
        <v>89</v>
      </c>
      <c r="D1155" s="185">
        <v>1967</v>
      </c>
      <c r="E1155" s="185"/>
      <c r="F1155" s="203" t="s">
        <v>273</v>
      </c>
      <c r="G1155" s="185">
        <v>2</v>
      </c>
      <c r="H1155" s="185">
        <v>2</v>
      </c>
      <c r="I1155" s="186">
        <v>609</v>
      </c>
      <c r="J1155" s="186">
        <v>609</v>
      </c>
      <c r="K1155" s="186">
        <v>579</v>
      </c>
      <c r="L1155" s="202">
        <v>31</v>
      </c>
      <c r="M1155" s="185" t="s">
        <v>271</v>
      </c>
      <c r="N1155" s="185" t="s">
        <v>272</v>
      </c>
      <c r="O1155" s="185" t="s">
        <v>274</v>
      </c>
      <c r="P1155" s="186">
        <v>3013803.8600000003</v>
      </c>
      <c r="Q1155" s="186">
        <v>0</v>
      </c>
      <c r="R1155" s="186">
        <v>0</v>
      </c>
      <c r="S1155" s="186">
        <f>P1155-Q1155-R1155</f>
        <v>3013803.8600000003</v>
      </c>
      <c r="T1155" s="189">
        <f t="shared" si="178"/>
        <v>4948.7748111658466</v>
      </c>
      <c r="U1155" s="189">
        <f>Y1155</f>
        <v>5024.5891625615768</v>
      </c>
      <c r="V1155" s="170">
        <f t="shared" si="187"/>
        <v>75.814351395730228</v>
      </c>
      <c r="W1155" s="170"/>
      <c r="X1155" s="170"/>
      <c r="Y1155" s="173">
        <f t="shared" si="188"/>
        <v>5024.5891625615768</v>
      </c>
      <c r="AA1155" s="173">
        <f t="shared" si="179"/>
        <v>586</v>
      </c>
      <c r="AH1155" s="173" t="e">
        <f t="shared" si="180"/>
        <v>#N/A</v>
      </c>
      <c r="AS1155" s="173" t="e">
        <f t="shared" si="181"/>
        <v>#N/A</v>
      </c>
      <c r="DT1155" s="144"/>
      <c r="DU1155" s="144"/>
      <c r="DV1155" s="144"/>
      <c r="EJ1155" s="145"/>
      <c r="ES1155" s="146"/>
      <c r="FV1155" s="147"/>
      <c r="GL1155" s="148"/>
    </row>
    <row r="1156" spans="1:194" s="173" customFormat="1" ht="36" customHeight="1" x14ac:dyDescent="0.9">
      <c r="B1156" s="90" t="s">
        <v>913</v>
      </c>
      <c r="C1156" s="90"/>
      <c r="D1156" s="185" t="s">
        <v>915</v>
      </c>
      <c r="E1156" s="185" t="s">
        <v>915</v>
      </c>
      <c r="F1156" s="185" t="s">
        <v>915</v>
      </c>
      <c r="G1156" s="185" t="s">
        <v>915</v>
      </c>
      <c r="H1156" s="185" t="s">
        <v>915</v>
      </c>
      <c r="I1156" s="186">
        <f>I1157</f>
        <v>616.20000000000005</v>
      </c>
      <c r="J1156" s="186">
        <f>J1157</f>
        <v>315</v>
      </c>
      <c r="K1156" s="186">
        <f>K1157</f>
        <v>315</v>
      </c>
      <c r="L1156" s="187">
        <f>L1157</f>
        <v>21</v>
      </c>
      <c r="M1156" s="185" t="s">
        <v>915</v>
      </c>
      <c r="N1156" s="185" t="s">
        <v>915</v>
      </c>
      <c r="O1156" s="188" t="s">
        <v>915</v>
      </c>
      <c r="P1156" s="189">
        <v>2036502</v>
      </c>
      <c r="Q1156" s="189">
        <f>Q1157</f>
        <v>0</v>
      </c>
      <c r="R1156" s="189">
        <f>R1157</f>
        <v>0</v>
      </c>
      <c r="S1156" s="189">
        <f>S1157</f>
        <v>2036502</v>
      </c>
      <c r="T1156" s="189">
        <f t="shared" si="178"/>
        <v>3304.9367088607592</v>
      </c>
      <c r="U1156" s="189">
        <f>U1157</f>
        <v>3304.9367088607592</v>
      </c>
      <c r="V1156" s="170">
        <f t="shared" si="187"/>
        <v>0</v>
      </c>
      <c r="W1156" s="170"/>
      <c r="X1156" s="170"/>
      <c r="Y1156" s="173" t="e">
        <f t="shared" si="188"/>
        <v>#N/A</v>
      </c>
      <c r="AA1156" s="173" t="e">
        <f t="shared" si="179"/>
        <v>#N/A</v>
      </c>
      <c r="AH1156" s="173" t="e">
        <f t="shared" si="180"/>
        <v>#N/A</v>
      </c>
      <c r="AS1156" s="173" t="e">
        <f t="shared" si="181"/>
        <v>#N/A</v>
      </c>
    </row>
    <row r="1157" spans="1:194" s="142" customFormat="1" ht="36" customHeight="1" x14ac:dyDescent="0.9">
      <c r="A1157" s="173">
        <v>1</v>
      </c>
      <c r="B1157" s="91">
        <f>SUBTOTAL(103,$A$957:A1157)</f>
        <v>170</v>
      </c>
      <c r="C1157" s="201" t="s">
        <v>88</v>
      </c>
      <c r="D1157" s="185">
        <v>1982</v>
      </c>
      <c r="E1157" s="185"/>
      <c r="F1157" s="203" t="s">
        <v>273</v>
      </c>
      <c r="G1157" s="185">
        <v>2</v>
      </c>
      <c r="H1157" s="185">
        <v>2</v>
      </c>
      <c r="I1157" s="186">
        <v>616.20000000000005</v>
      </c>
      <c r="J1157" s="186">
        <v>315</v>
      </c>
      <c r="K1157" s="186">
        <v>315</v>
      </c>
      <c r="L1157" s="202">
        <v>21</v>
      </c>
      <c r="M1157" s="185" t="s">
        <v>271</v>
      </c>
      <c r="N1157" s="185" t="s">
        <v>272</v>
      </c>
      <c r="O1157" s="185" t="s">
        <v>274</v>
      </c>
      <c r="P1157" s="186">
        <v>2036502</v>
      </c>
      <c r="Q1157" s="186">
        <v>0</v>
      </c>
      <c r="R1157" s="186">
        <v>0</v>
      </c>
      <c r="S1157" s="186">
        <f>P1157-Q1157-R1157</f>
        <v>2036502</v>
      </c>
      <c r="T1157" s="189">
        <f t="shared" si="178"/>
        <v>3304.9367088607592</v>
      </c>
      <c r="U1157" s="189">
        <f>Y1157</f>
        <v>3304.9367088607592</v>
      </c>
      <c r="V1157" s="170">
        <f t="shared" si="187"/>
        <v>0</v>
      </c>
      <c r="W1157" s="170"/>
      <c r="X1157" s="170"/>
      <c r="Y1157" s="173">
        <f t="shared" si="188"/>
        <v>3304.9367088607592</v>
      </c>
      <c r="AA1157" s="173">
        <f t="shared" si="179"/>
        <v>390</v>
      </c>
      <c r="AH1157" s="173" t="e">
        <f t="shared" si="180"/>
        <v>#N/A</v>
      </c>
      <c r="AS1157" s="173" t="e">
        <f t="shared" si="181"/>
        <v>#N/A</v>
      </c>
      <c r="DT1157" s="144"/>
      <c r="DU1157" s="144"/>
      <c r="DV1157" s="144"/>
      <c r="EJ1157" s="145"/>
      <c r="ES1157" s="146"/>
      <c r="FV1157" s="147"/>
      <c r="GL1157" s="148"/>
    </row>
    <row r="1158" spans="1:194" s="173" customFormat="1" ht="36" customHeight="1" x14ac:dyDescent="0.9">
      <c r="B1158" s="90" t="s">
        <v>865</v>
      </c>
      <c r="C1158" s="192"/>
      <c r="D1158" s="185" t="s">
        <v>915</v>
      </c>
      <c r="E1158" s="185" t="s">
        <v>915</v>
      </c>
      <c r="F1158" s="185" t="s">
        <v>915</v>
      </c>
      <c r="G1158" s="185" t="s">
        <v>915</v>
      </c>
      <c r="H1158" s="185" t="s">
        <v>915</v>
      </c>
      <c r="I1158" s="186">
        <f>I1159</f>
        <v>772.9</v>
      </c>
      <c r="J1158" s="186">
        <f>J1159</f>
        <v>728.9</v>
      </c>
      <c r="K1158" s="186">
        <f>K1159</f>
        <v>650.20000000000005</v>
      </c>
      <c r="L1158" s="187">
        <f>L1159</f>
        <v>32</v>
      </c>
      <c r="M1158" s="185" t="s">
        <v>915</v>
      </c>
      <c r="N1158" s="185" t="s">
        <v>915</v>
      </c>
      <c r="O1158" s="188" t="s">
        <v>915</v>
      </c>
      <c r="P1158" s="189">
        <v>3592598.4</v>
      </c>
      <c r="Q1158" s="189">
        <f>Q1159</f>
        <v>0</v>
      </c>
      <c r="R1158" s="189">
        <f>R1159</f>
        <v>0</v>
      </c>
      <c r="S1158" s="189">
        <f>S1159</f>
        <v>3592598.4</v>
      </c>
      <c r="T1158" s="189">
        <f t="shared" si="178"/>
        <v>4648.2059774873851</v>
      </c>
      <c r="U1158" s="189">
        <f>U1159</f>
        <v>4648.2059774873851</v>
      </c>
      <c r="V1158" s="170">
        <f t="shared" si="187"/>
        <v>0</v>
      </c>
      <c r="W1158" s="170"/>
      <c r="X1158" s="170"/>
      <c r="Y1158" s="173" t="e">
        <f t="shared" si="188"/>
        <v>#N/A</v>
      </c>
      <c r="AA1158" s="173" t="e">
        <f t="shared" si="179"/>
        <v>#N/A</v>
      </c>
      <c r="AH1158" s="173" t="e">
        <f t="shared" si="180"/>
        <v>#N/A</v>
      </c>
      <c r="AS1158" s="173" t="e">
        <f t="shared" si="181"/>
        <v>#N/A</v>
      </c>
    </row>
    <row r="1159" spans="1:194" s="142" customFormat="1" ht="36" customHeight="1" x14ac:dyDescent="0.9">
      <c r="A1159" s="173">
        <v>1</v>
      </c>
      <c r="B1159" s="91">
        <f>SUBTOTAL(103,$A$957:A1159)</f>
        <v>171</v>
      </c>
      <c r="C1159" s="201" t="s">
        <v>109</v>
      </c>
      <c r="D1159" s="185">
        <v>1971</v>
      </c>
      <c r="E1159" s="185"/>
      <c r="F1159" s="203" t="s">
        <v>273</v>
      </c>
      <c r="G1159" s="185">
        <v>2</v>
      </c>
      <c r="H1159" s="185">
        <v>2</v>
      </c>
      <c r="I1159" s="186">
        <v>772.9</v>
      </c>
      <c r="J1159" s="186">
        <v>728.9</v>
      </c>
      <c r="K1159" s="186">
        <v>650.20000000000005</v>
      </c>
      <c r="L1159" s="202">
        <v>32</v>
      </c>
      <c r="M1159" s="185" t="s">
        <v>271</v>
      </c>
      <c r="N1159" s="185" t="s">
        <v>272</v>
      </c>
      <c r="O1159" s="185" t="s">
        <v>274</v>
      </c>
      <c r="P1159" s="186">
        <v>3592598.4</v>
      </c>
      <c r="Q1159" s="186">
        <v>0</v>
      </c>
      <c r="R1159" s="186">
        <v>0</v>
      </c>
      <c r="S1159" s="186">
        <f>P1159-Q1159-R1159</f>
        <v>3592598.4</v>
      </c>
      <c r="T1159" s="189">
        <f t="shared" si="178"/>
        <v>4648.2059774873851</v>
      </c>
      <c r="U1159" s="189">
        <f>Y1159</f>
        <v>4648.2059774873851</v>
      </c>
      <c r="V1159" s="170">
        <f t="shared" si="187"/>
        <v>0</v>
      </c>
      <c r="W1159" s="170"/>
      <c r="X1159" s="170"/>
      <c r="Y1159" s="173">
        <f t="shared" si="188"/>
        <v>4648.2059774873851</v>
      </c>
      <c r="AA1159" s="173">
        <f t="shared" si="179"/>
        <v>688</v>
      </c>
      <c r="AH1159" s="173" t="e">
        <f t="shared" si="180"/>
        <v>#N/A</v>
      </c>
      <c r="AS1159" s="173" t="e">
        <f t="shared" si="181"/>
        <v>#N/A</v>
      </c>
      <c r="DT1159" s="144"/>
      <c r="DU1159" s="144"/>
      <c r="DV1159" s="144"/>
      <c r="EJ1159" s="145"/>
      <c r="ES1159" s="146"/>
      <c r="FV1159" s="147"/>
      <c r="GL1159" s="148"/>
    </row>
    <row r="1160" spans="1:194" s="173" customFormat="1" ht="36" customHeight="1" x14ac:dyDescent="0.9">
      <c r="B1160" s="90" t="s">
        <v>900</v>
      </c>
      <c r="C1160" s="90"/>
      <c r="D1160" s="185" t="s">
        <v>915</v>
      </c>
      <c r="E1160" s="185" t="s">
        <v>915</v>
      </c>
      <c r="F1160" s="185" t="s">
        <v>915</v>
      </c>
      <c r="G1160" s="185" t="s">
        <v>915</v>
      </c>
      <c r="H1160" s="185" t="s">
        <v>915</v>
      </c>
      <c r="I1160" s="186">
        <f>I1161</f>
        <v>976.3</v>
      </c>
      <c r="J1160" s="186">
        <f>J1161</f>
        <v>880.1</v>
      </c>
      <c r="K1160" s="186">
        <f>K1161</f>
        <v>880.1</v>
      </c>
      <c r="L1160" s="187">
        <f>L1161</f>
        <v>36</v>
      </c>
      <c r="M1160" s="185" t="s">
        <v>915</v>
      </c>
      <c r="N1160" s="185" t="s">
        <v>915</v>
      </c>
      <c r="O1160" s="188" t="s">
        <v>915</v>
      </c>
      <c r="P1160" s="189">
        <v>4454195.3999999994</v>
      </c>
      <c r="Q1160" s="189">
        <f>Q1161</f>
        <v>0</v>
      </c>
      <c r="R1160" s="189">
        <f>R1161</f>
        <v>0</v>
      </c>
      <c r="S1160" s="189">
        <f>S1161</f>
        <v>4454195.3999999994</v>
      </c>
      <c r="T1160" s="189">
        <f t="shared" si="178"/>
        <v>4562.3224418723748</v>
      </c>
      <c r="U1160" s="189">
        <f>U1161</f>
        <v>4562.3224418723757</v>
      </c>
      <c r="V1160" s="170">
        <f t="shared" si="187"/>
        <v>0</v>
      </c>
      <c r="W1160" s="170"/>
      <c r="X1160" s="170"/>
      <c r="Y1160" s="173" t="e">
        <f t="shared" si="188"/>
        <v>#N/A</v>
      </c>
      <c r="AA1160" s="173" t="e">
        <f t="shared" si="179"/>
        <v>#N/A</v>
      </c>
      <c r="AH1160" s="173" t="e">
        <f t="shared" si="180"/>
        <v>#N/A</v>
      </c>
      <c r="AS1160" s="173" t="e">
        <f t="shared" si="181"/>
        <v>#N/A</v>
      </c>
    </row>
    <row r="1161" spans="1:194" s="142" customFormat="1" ht="36" customHeight="1" x14ac:dyDescent="0.9">
      <c r="A1161" s="173">
        <v>1</v>
      </c>
      <c r="B1161" s="91">
        <f>SUBTOTAL(103,$A$957:A1161)</f>
        <v>172</v>
      </c>
      <c r="C1161" s="201" t="s">
        <v>111</v>
      </c>
      <c r="D1161" s="185">
        <v>1987</v>
      </c>
      <c r="E1161" s="185"/>
      <c r="F1161" s="203" t="s">
        <v>273</v>
      </c>
      <c r="G1161" s="185">
        <v>2</v>
      </c>
      <c r="H1161" s="185">
        <v>3</v>
      </c>
      <c r="I1161" s="186">
        <v>976.3</v>
      </c>
      <c r="J1161" s="186">
        <v>880.1</v>
      </c>
      <c r="K1161" s="186">
        <v>880.1</v>
      </c>
      <c r="L1161" s="202">
        <v>36</v>
      </c>
      <c r="M1161" s="185" t="s">
        <v>271</v>
      </c>
      <c r="N1161" s="185" t="s">
        <v>272</v>
      </c>
      <c r="O1161" s="185" t="s">
        <v>274</v>
      </c>
      <c r="P1161" s="186">
        <v>4454195.3999999994</v>
      </c>
      <c r="Q1161" s="186">
        <v>0</v>
      </c>
      <c r="R1161" s="186">
        <v>0</v>
      </c>
      <c r="S1161" s="186">
        <f>P1161-Q1161-R1161</f>
        <v>4454195.3999999994</v>
      </c>
      <c r="T1161" s="189">
        <f t="shared" si="178"/>
        <v>4562.3224418723748</v>
      </c>
      <c r="U1161" s="189">
        <f>Y1161</f>
        <v>4562.3224418723757</v>
      </c>
      <c r="V1161" s="170">
        <f t="shared" si="187"/>
        <v>0</v>
      </c>
      <c r="W1161" s="170"/>
      <c r="X1161" s="170"/>
      <c r="Y1161" s="173">
        <f t="shared" si="188"/>
        <v>4562.3224418723757</v>
      </c>
      <c r="AA1161" s="173">
        <f t="shared" si="179"/>
        <v>853</v>
      </c>
      <c r="AH1161" s="173" t="e">
        <f t="shared" si="180"/>
        <v>#N/A</v>
      </c>
      <c r="AS1161" s="173" t="e">
        <f t="shared" si="181"/>
        <v>#N/A</v>
      </c>
      <c r="DT1161" s="144"/>
      <c r="DU1161" s="144"/>
      <c r="DV1161" s="144"/>
      <c r="EJ1161" s="145"/>
      <c r="ES1161" s="146"/>
      <c r="FV1161" s="147"/>
      <c r="GL1161" s="148"/>
    </row>
    <row r="1162" spans="1:194" s="173" customFormat="1" ht="36" customHeight="1" x14ac:dyDescent="0.9">
      <c r="B1162" s="90" t="s">
        <v>914</v>
      </c>
      <c r="C1162" s="192"/>
      <c r="D1162" s="185" t="s">
        <v>915</v>
      </c>
      <c r="E1162" s="185" t="s">
        <v>915</v>
      </c>
      <c r="F1162" s="185" t="s">
        <v>915</v>
      </c>
      <c r="G1162" s="185" t="s">
        <v>915</v>
      </c>
      <c r="H1162" s="185" t="s">
        <v>915</v>
      </c>
      <c r="I1162" s="186">
        <f>I1163</f>
        <v>781.7</v>
      </c>
      <c r="J1162" s="186">
        <f>J1163</f>
        <v>722.5</v>
      </c>
      <c r="K1162" s="186">
        <f>K1163</f>
        <v>505.6</v>
      </c>
      <c r="L1162" s="187">
        <f>L1163</f>
        <v>25</v>
      </c>
      <c r="M1162" s="185" t="s">
        <v>915</v>
      </c>
      <c r="N1162" s="185" t="s">
        <v>915</v>
      </c>
      <c r="O1162" s="188" t="s">
        <v>915</v>
      </c>
      <c r="P1162" s="189">
        <v>5304624.57</v>
      </c>
      <c r="Q1162" s="189">
        <f>Q1163</f>
        <v>0</v>
      </c>
      <c r="R1162" s="189">
        <f>R1163</f>
        <v>0</v>
      </c>
      <c r="S1162" s="189">
        <f>S1163</f>
        <v>5304624.57</v>
      </c>
      <c r="T1162" s="189">
        <f t="shared" si="178"/>
        <v>6786.0107074325188</v>
      </c>
      <c r="U1162" s="189">
        <f>U1163</f>
        <v>6786.0107074325188</v>
      </c>
      <c r="V1162" s="170">
        <f t="shared" si="187"/>
        <v>0</v>
      </c>
      <c r="W1162" s="170"/>
      <c r="X1162" s="170"/>
      <c r="Y1162" s="173" t="e">
        <f t="shared" si="188"/>
        <v>#N/A</v>
      </c>
      <c r="AA1162" s="173" t="e">
        <f t="shared" si="179"/>
        <v>#N/A</v>
      </c>
      <c r="AH1162" s="173" t="e">
        <f t="shared" si="180"/>
        <v>#N/A</v>
      </c>
      <c r="AS1162" s="173" t="e">
        <f t="shared" si="181"/>
        <v>#N/A</v>
      </c>
    </row>
    <row r="1163" spans="1:194" s="142" customFormat="1" ht="36" customHeight="1" x14ac:dyDescent="0.9">
      <c r="A1163" s="173">
        <v>1</v>
      </c>
      <c r="B1163" s="91">
        <f>SUBTOTAL(103,$A$957:A1163)</f>
        <v>173</v>
      </c>
      <c r="C1163" s="201" t="s">
        <v>215</v>
      </c>
      <c r="D1163" s="185">
        <v>1968</v>
      </c>
      <c r="E1163" s="185"/>
      <c r="F1163" s="203" t="s">
        <v>273</v>
      </c>
      <c r="G1163" s="185">
        <v>2</v>
      </c>
      <c r="H1163" s="185">
        <v>2</v>
      </c>
      <c r="I1163" s="186">
        <v>781.7</v>
      </c>
      <c r="J1163" s="186">
        <v>722.5</v>
      </c>
      <c r="K1163" s="186">
        <v>505.6</v>
      </c>
      <c r="L1163" s="202">
        <v>25</v>
      </c>
      <c r="M1163" s="185" t="s">
        <v>271</v>
      </c>
      <c r="N1163" s="185" t="s">
        <v>275</v>
      </c>
      <c r="O1163" s="185" t="s">
        <v>339</v>
      </c>
      <c r="P1163" s="186">
        <v>5304624.57</v>
      </c>
      <c r="Q1163" s="186">
        <v>0</v>
      </c>
      <c r="R1163" s="186">
        <v>0</v>
      </c>
      <c r="S1163" s="186">
        <f>P1163-Q1163-R1163</f>
        <v>5304624.57</v>
      </c>
      <c r="T1163" s="189">
        <f t="shared" si="178"/>
        <v>6786.0107074325188</v>
      </c>
      <c r="U1163" s="189">
        <v>6786.0107074325188</v>
      </c>
      <c r="V1163" s="170">
        <f t="shared" si="187"/>
        <v>0</v>
      </c>
      <c r="W1163" s="170"/>
      <c r="X1163" s="170"/>
      <c r="Y1163" s="173">
        <f t="shared" si="188"/>
        <v>6191.2765690162469</v>
      </c>
      <c r="AA1163" s="173">
        <f t="shared" si="179"/>
        <v>926.83</v>
      </c>
      <c r="AH1163" s="173" t="e">
        <f t="shared" si="180"/>
        <v>#N/A</v>
      </c>
      <c r="AS1163" s="173" t="e">
        <f t="shared" si="181"/>
        <v>#N/A</v>
      </c>
      <c r="DT1163" s="144"/>
      <c r="DU1163" s="144"/>
      <c r="DV1163" s="144"/>
      <c r="EJ1163" s="145"/>
      <c r="ES1163" s="146"/>
      <c r="FV1163" s="147"/>
      <c r="GL1163" s="148"/>
    </row>
    <row r="1164" spans="1:194" s="173" customFormat="1" ht="36" customHeight="1" x14ac:dyDescent="0.9">
      <c r="B1164" s="90" t="s">
        <v>866</v>
      </c>
      <c r="C1164" s="192"/>
      <c r="D1164" s="185" t="s">
        <v>915</v>
      </c>
      <c r="E1164" s="185" t="s">
        <v>915</v>
      </c>
      <c r="F1164" s="185" t="s">
        <v>915</v>
      </c>
      <c r="G1164" s="185" t="s">
        <v>915</v>
      </c>
      <c r="H1164" s="185" t="s">
        <v>915</v>
      </c>
      <c r="I1164" s="186">
        <f>I1165</f>
        <v>736.7</v>
      </c>
      <c r="J1164" s="186">
        <f>J1165</f>
        <v>736.7</v>
      </c>
      <c r="K1164" s="186">
        <f>K1165</f>
        <v>450.8</v>
      </c>
      <c r="L1164" s="187">
        <f>L1165</f>
        <v>42</v>
      </c>
      <c r="M1164" s="185" t="s">
        <v>915</v>
      </c>
      <c r="N1164" s="185" t="s">
        <v>915</v>
      </c>
      <c r="O1164" s="188" t="s">
        <v>915</v>
      </c>
      <c r="P1164" s="189">
        <v>3231458.3</v>
      </c>
      <c r="Q1164" s="189">
        <f>Q1165</f>
        <v>0</v>
      </c>
      <c r="R1164" s="189">
        <f>R1165</f>
        <v>1851570.68</v>
      </c>
      <c r="S1164" s="189">
        <f>S1165</f>
        <v>1379887.6199999999</v>
      </c>
      <c r="T1164" s="189">
        <f t="shared" si="178"/>
        <v>4386.3964978960221</v>
      </c>
      <c r="U1164" s="189">
        <f>U1165</f>
        <v>4754.6945025111982</v>
      </c>
      <c r="V1164" s="170">
        <f t="shared" si="187"/>
        <v>368.29800461517607</v>
      </c>
      <c r="W1164" s="170"/>
      <c r="X1164" s="170"/>
      <c r="Y1164" s="173" t="e">
        <f t="shared" si="188"/>
        <v>#N/A</v>
      </c>
      <c r="AA1164" s="173" t="e">
        <f t="shared" si="179"/>
        <v>#N/A</v>
      </c>
      <c r="AH1164" s="173" t="e">
        <f t="shared" si="180"/>
        <v>#N/A</v>
      </c>
      <c r="AS1164" s="173" t="e">
        <f t="shared" si="181"/>
        <v>#N/A</v>
      </c>
    </row>
    <row r="1165" spans="1:194" s="142" customFormat="1" ht="36" customHeight="1" x14ac:dyDescent="0.9">
      <c r="A1165" s="173">
        <v>1</v>
      </c>
      <c r="B1165" s="91">
        <f>SUBTOTAL(103,$A$957:A1165)</f>
        <v>174</v>
      </c>
      <c r="C1165" s="201" t="s">
        <v>66</v>
      </c>
      <c r="D1165" s="185">
        <v>1978</v>
      </c>
      <c r="E1165" s="185"/>
      <c r="F1165" s="203" t="s">
        <v>273</v>
      </c>
      <c r="G1165" s="185">
        <v>2</v>
      </c>
      <c r="H1165" s="185">
        <v>2</v>
      </c>
      <c r="I1165" s="186">
        <v>736.7</v>
      </c>
      <c r="J1165" s="186">
        <v>736.7</v>
      </c>
      <c r="K1165" s="186">
        <v>450.8</v>
      </c>
      <c r="L1165" s="202">
        <v>42</v>
      </c>
      <c r="M1165" s="185" t="s">
        <v>271</v>
      </c>
      <c r="N1165" s="185" t="s">
        <v>272</v>
      </c>
      <c r="O1165" s="185" t="s">
        <v>274</v>
      </c>
      <c r="P1165" s="186">
        <v>3231458.3</v>
      </c>
      <c r="Q1165" s="186">
        <v>0</v>
      </c>
      <c r="R1165" s="186">
        <v>1851570.68</v>
      </c>
      <c r="S1165" s="186">
        <f>P1165-Q1165-R1165</f>
        <v>1379887.6199999999</v>
      </c>
      <c r="T1165" s="189">
        <f t="shared" si="178"/>
        <v>4386.3964978960221</v>
      </c>
      <c r="U1165" s="189">
        <f>Y1165</f>
        <v>4754.6945025111982</v>
      </c>
      <c r="V1165" s="170">
        <f t="shared" si="187"/>
        <v>368.29800461517607</v>
      </c>
      <c r="W1165" s="170"/>
      <c r="X1165" s="170"/>
      <c r="Y1165" s="173">
        <f t="shared" si="188"/>
        <v>4754.6945025111982</v>
      </c>
      <c r="AA1165" s="173">
        <f t="shared" si="179"/>
        <v>670.8</v>
      </c>
      <c r="AH1165" s="173" t="e">
        <f t="shared" si="180"/>
        <v>#N/A</v>
      </c>
      <c r="AS1165" s="173" t="e">
        <f t="shared" si="181"/>
        <v>#N/A</v>
      </c>
      <c r="DT1165" s="144"/>
      <c r="DU1165" s="144"/>
      <c r="DV1165" s="144"/>
      <c r="EJ1165" s="145"/>
      <c r="ES1165" s="146"/>
      <c r="FV1165" s="147"/>
      <c r="GL1165" s="148"/>
    </row>
    <row r="1166" spans="1:194" s="173" customFormat="1" ht="36" customHeight="1" x14ac:dyDescent="0.9">
      <c r="B1166" s="90" t="s">
        <v>868</v>
      </c>
      <c r="C1166" s="90"/>
      <c r="D1166" s="185" t="s">
        <v>915</v>
      </c>
      <c r="E1166" s="185" t="s">
        <v>915</v>
      </c>
      <c r="F1166" s="185" t="s">
        <v>915</v>
      </c>
      <c r="G1166" s="185" t="s">
        <v>915</v>
      </c>
      <c r="H1166" s="185" t="s">
        <v>915</v>
      </c>
      <c r="I1166" s="186">
        <f>SUM(I1167:I1169)</f>
        <v>9352.4</v>
      </c>
      <c r="J1166" s="186">
        <f>SUM(J1167:J1169)</f>
        <v>9253</v>
      </c>
      <c r="K1166" s="186">
        <f>SUM(K1167:K1169)</f>
        <v>9002.2999999999993</v>
      </c>
      <c r="L1166" s="187">
        <f>SUM(L1167:L1169)</f>
        <v>371</v>
      </c>
      <c r="M1166" s="185" t="s">
        <v>915</v>
      </c>
      <c r="N1166" s="185" t="s">
        <v>915</v>
      </c>
      <c r="O1166" s="188" t="s">
        <v>915</v>
      </c>
      <c r="P1166" s="189">
        <v>16849360.93</v>
      </c>
      <c r="Q1166" s="189">
        <f>Q1167+Q1168+Q1169</f>
        <v>0</v>
      </c>
      <c r="R1166" s="189">
        <f>R1167+R1168+R1169</f>
        <v>0</v>
      </c>
      <c r="S1166" s="189">
        <f>S1167+S1168+S1169</f>
        <v>16849360.93</v>
      </c>
      <c r="T1166" s="189">
        <f t="shared" si="178"/>
        <v>1801.6082428039863</v>
      </c>
      <c r="U1166" s="189">
        <f>MAX(U1167:U1169)</f>
        <v>3255.8500000000004</v>
      </c>
      <c r="V1166" s="170">
        <f t="shared" si="187"/>
        <v>1454.2417571960141</v>
      </c>
      <c r="W1166" s="170"/>
      <c r="X1166" s="170"/>
      <c r="Y1166" s="173" t="e">
        <f t="shared" si="188"/>
        <v>#N/A</v>
      </c>
      <c r="AA1166" s="173" t="e">
        <f t="shared" si="179"/>
        <v>#N/A</v>
      </c>
      <c r="AH1166" s="173" t="e">
        <f t="shared" si="180"/>
        <v>#N/A</v>
      </c>
      <c r="AS1166" s="173" t="e">
        <f t="shared" si="181"/>
        <v>#N/A</v>
      </c>
    </row>
    <row r="1167" spans="1:194" s="142" customFormat="1" ht="36" customHeight="1" x14ac:dyDescent="0.9">
      <c r="A1167" s="173">
        <v>1</v>
      </c>
      <c r="B1167" s="91">
        <f>SUBTOTAL(103,$A$957:A1167)</f>
        <v>175</v>
      </c>
      <c r="C1167" s="201" t="s">
        <v>69</v>
      </c>
      <c r="D1167" s="185">
        <v>1977</v>
      </c>
      <c r="E1167" s="185"/>
      <c r="F1167" s="203" t="s">
        <v>273</v>
      </c>
      <c r="G1167" s="185">
        <v>5</v>
      </c>
      <c r="H1167" s="185">
        <v>6</v>
      </c>
      <c r="I1167" s="186">
        <v>4338.6000000000004</v>
      </c>
      <c r="J1167" s="186">
        <v>4331.6000000000004</v>
      </c>
      <c r="K1167" s="186">
        <v>4154.6000000000004</v>
      </c>
      <c r="L1167" s="202">
        <v>174</v>
      </c>
      <c r="M1167" s="185" t="s">
        <v>271</v>
      </c>
      <c r="N1167" s="185" t="s">
        <v>275</v>
      </c>
      <c r="O1167" s="185" t="s">
        <v>277</v>
      </c>
      <c r="P1167" s="186">
        <v>5782944.25</v>
      </c>
      <c r="Q1167" s="186">
        <v>0</v>
      </c>
      <c r="R1167" s="186">
        <v>0</v>
      </c>
      <c r="S1167" s="186">
        <f>P1167-Q1167-R1167</f>
        <v>5782944.25</v>
      </c>
      <c r="T1167" s="189">
        <f t="shared" si="178"/>
        <v>1332.905603189969</v>
      </c>
      <c r="U1167" s="189">
        <f>T1167</f>
        <v>1332.905603189969</v>
      </c>
      <c r="V1167" s="170">
        <f t="shared" si="187"/>
        <v>0</v>
      </c>
      <c r="W1167" s="170"/>
      <c r="X1167" s="170"/>
      <c r="Y1167" s="173" t="e">
        <f t="shared" si="188"/>
        <v>#N/A</v>
      </c>
      <c r="AA1167" s="173" t="e">
        <f t="shared" si="179"/>
        <v>#N/A</v>
      </c>
      <c r="AH1167" s="173" t="e">
        <f t="shared" si="180"/>
        <v>#N/A</v>
      </c>
      <c r="AS1167" s="173" t="e">
        <f t="shared" si="181"/>
        <v>#N/A</v>
      </c>
      <c r="DT1167" s="144"/>
      <c r="DU1167" s="144"/>
      <c r="DV1167" s="144"/>
      <c r="EJ1167" s="145"/>
      <c r="ES1167" s="146"/>
      <c r="FV1167" s="147"/>
      <c r="GL1167" s="148"/>
    </row>
    <row r="1168" spans="1:194" s="142" customFormat="1" ht="36" customHeight="1" x14ac:dyDescent="0.9">
      <c r="A1168" s="173">
        <v>1</v>
      </c>
      <c r="B1168" s="91">
        <f>SUBTOTAL(103,$A$957:A1168)</f>
        <v>176</v>
      </c>
      <c r="C1168" s="201" t="s">
        <v>68</v>
      </c>
      <c r="D1168" s="185">
        <v>1965</v>
      </c>
      <c r="E1168" s="185"/>
      <c r="F1168" s="203" t="s">
        <v>273</v>
      </c>
      <c r="G1168" s="185">
        <v>4</v>
      </c>
      <c r="H1168" s="185">
        <v>4</v>
      </c>
      <c r="I1168" s="186">
        <v>2512.9</v>
      </c>
      <c r="J1168" s="186">
        <v>2463.4</v>
      </c>
      <c r="K1168" s="186">
        <v>2431.4</v>
      </c>
      <c r="L1168" s="202">
        <v>86</v>
      </c>
      <c r="M1168" s="185" t="s">
        <v>271</v>
      </c>
      <c r="N1168" s="185" t="s">
        <v>275</v>
      </c>
      <c r="O1168" s="185" t="s">
        <v>277</v>
      </c>
      <c r="P1168" s="186">
        <v>6823737.3099999996</v>
      </c>
      <c r="Q1168" s="186">
        <v>0</v>
      </c>
      <c r="R1168" s="186">
        <v>0</v>
      </c>
      <c r="S1168" s="186">
        <f>P1168-Q1168-R1168</f>
        <v>6823737.3099999996</v>
      </c>
      <c r="T1168" s="189">
        <f t="shared" ref="T1168:T1226" si="191">P1168/I1168</f>
        <v>2715.4830315571648</v>
      </c>
      <c r="U1168" s="189">
        <f>T1168</f>
        <v>2715.4830315571648</v>
      </c>
      <c r="V1168" s="170">
        <f t="shared" si="187"/>
        <v>0</v>
      </c>
      <c r="W1168" s="170"/>
      <c r="X1168" s="170"/>
      <c r="Y1168" s="173">
        <f t="shared" si="188"/>
        <v>2574.4311433005691</v>
      </c>
      <c r="AA1168" s="173">
        <f t="shared" si="179"/>
        <v>1238.9000000000001</v>
      </c>
      <c r="AH1168" s="173" t="e">
        <f t="shared" si="180"/>
        <v>#N/A</v>
      </c>
      <c r="AS1168" s="173" t="e">
        <f t="shared" si="181"/>
        <v>#N/A</v>
      </c>
      <c r="DT1168" s="144"/>
      <c r="DU1168" s="144"/>
      <c r="DV1168" s="144"/>
      <c r="EJ1168" s="145"/>
      <c r="ES1168" s="146"/>
      <c r="FV1168" s="147"/>
      <c r="GL1168" s="148"/>
    </row>
    <row r="1169" spans="1:194" s="142" customFormat="1" ht="36" customHeight="1" x14ac:dyDescent="0.9">
      <c r="A1169" s="173">
        <v>1</v>
      </c>
      <c r="B1169" s="91">
        <f>SUBTOTAL(103,$A$957:A1169)</f>
        <v>177</v>
      </c>
      <c r="C1169" s="201" t="s">
        <v>67</v>
      </c>
      <c r="D1169" s="185">
        <v>1967</v>
      </c>
      <c r="E1169" s="185"/>
      <c r="F1169" s="203" t="s">
        <v>273</v>
      </c>
      <c r="G1169" s="185">
        <v>4</v>
      </c>
      <c r="H1169" s="185">
        <v>4</v>
      </c>
      <c r="I1169" s="186">
        <v>2500.9</v>
      </c>
      <c r="J1169" s="186">
        <v>2458</v>
      </c>
      <c r="K1169" s="186">
        <v>2416.3000000000002</v>
      </c>
      <c r="L1169" s="202">
        <v>111</v>
      </c>
      <c r="M1169" s="185" t="s">
        <v>271</v>
      </c>
      <c r="N1169" s="185" t="s">
        <v>275</v>
      </c>
      <c r="O1169" s="185" t="s">
        <v>277</v>
      </c>
      <c r="P1169" s="186">
        <v>4242679.37</v>
      </c>
      <c r="Q1169" s="186">
        <v>0</v>
      </c>
      <c r="R1169" s="186">
        <v>0</v>
      </c>
      <c r="S1169" s="186">
        <f>P1169-Q1169-R1169</f>
        <v>4242679.37</v>
      </c>
      <c r="T1169" s="189">
        <f t="shared" si="191"/>
        <v>1696.4610220320685</v>
      </c>
      <c r="U1169" s="189">
        <v>3255.8500000000004</v>
      </c>
      <c r="V1169" s="170">
        <f t="shared" si="187"/>
        <v>1559.3889779679319</v>
      </c>
      <c r="W1169" s="170"/>
      <c r="X1169" s="170"/>
      <c r="Y1169" s="173" t="e">
        <f t="shared" si="188"/>
        <v>#N/A</v>
      </c>
      <c r="AA1169" s="173" t="e">
        <f t="shared" si="179"/>
        <v>#N/A</v>
      </c>
      <c r="AH1169" s="173" t="e">
        <f t="shared" si="180"/>
        <v>#N/A</v>
      </c>
      <c r="AS1169" s="173" t="e">
        <f t="shared" si="181"/>
        <v>#N/A</v>
      </c>
      <c r="DT1169" s="144"/>
      <c r="DU1169" s="144"/>
      <c r="DV1169" s="144"/>
      <c r="EJ1169" s="145"/>
      <c r="ES1169" s="146"/>
      <c r="FV1169" s="147"/>
      <c r="GL1169" s="148"/>
    </row>
    <row r="1170" spans="1:194" s="173" customFormat="1" ht="36" customHeight="1" x14ac:dyDescent="0.9">
      <c r="B1170" s="90" t="s">
        <v>869</v>
      </c>
      <c r="C1170" s="90"/>
      <c r="D1170" s="185" t="s">
        <v>915</v>
      </c>
      <c r="E1170" s="185" t="s">
        <v>915</v>
      </c>
      <c r="F1170" s="185" t="s">
        <v>915</v>
      </c>
      <c r="G1170" s="185" t="s">
        <v>915</v>
      </c>
      <c r="H1170" s="185" t="s">
        <v>915</v>
      </c>
      <c r="I1170" s="186">
        <f>I1171</f>
        <v>2168.41</v>
      </c>
      <c r="J1170" s="186">
        <f>J1171</f>
        <v>1286.56</v>
      </c>
      <c r="K1170" s="186">
        <f>K1171</f>
        <v>1251.51</v>
      </c>
      <c r="L1170" s="187">
        <f>L1171</f>
        <v>62</v>
      </c>
      <c r="M1170" s="185" t="s">
        <v>915</v>
      </c>
      <c r="N1170" s="185" t="s">
        <v>915</v>
      </c>
      <c r="O1170" s="188" t="s">
        <v>915</v>
      </c>
      <c r="P1170" s="189">
        <v>2872957.67</v>
      </c>
      <c r="Q1170" s="189">
        <f>Q1171</f>
        <v>0</v>
      </c>
      <c r="R1170" s="189">
        <f>R1171</f>
        <v>0</v>
      </c>
      <c r="S1170" s="189">
        <f>S1171</f>
        <v>2872957.67</v>
      </c>
      <c r="T1170" s="189">
        <f t="shared" si="191"/>
        <v>1324.9144165540649</v>
      </c>
      <c r="U1170" s="189">
        <f>U1171</f>
        <v>2489.503779820237</v>
      </c>
      <c r="V1170" s="170">
        <f t="shared" si="187"/>
        <v>1164.5893632661721</v>
      </c>
      <c r="W1170" s="170"/>
      <c r="X1170" s="170"/>
      <c r="Y1170" s="173" t="e">
        <f t="shared" si="188"/>
        <v>#N/A</v>
      </c>
      <c r="AA1170" s="173" t="e">
        <f t="shared" si="179"/>
        <v>#N/A</v>
      </c>
      <c r="AH1170" s="173" t="e">
        <f t="shared" si="180"/>
        <v>#N/A</v>
      </c>
      <c r="AS1170" s="173" t="e">
        <f t="shared" si="181"/>
        <v>#N/A</v>
      </c>
    </row>
    <row r="1171" spans="1:194" s="142" customFormat="1" ht="36" customHeight="1" x14ac:dyDescent="0.9">
      <c r="A1171" s="173">
        <v>1</v>
      </c>
      <c r="B1171" s="91">
        <f>SUBTOTAL(103,$A$957:A1171)</f>
        <v>178</v>
      </c>
      <c r="C1171" s="201" t="s">
        <v>65</v>
      </c>
      <c r="D1171" s="185">
        <v>1954</v>
      </c>
      <c r="E1171" s="185"/>
      <c r="F1171" s="203" t="s">
        <v>273</v>
      </c>
      <c r="G1171" s="185">
        <v>3</v>
      </c>
      <c r="H1171" s="185">
        <v>3</v>
      </c>
      <c r="I1171" s="186">
        <v>2168.41</v>
      </c>
      <c r="J1171" s="186">
        <v>1286.56</v>
      </c>
      <c r="K1171" s="186">
        <v>1251.51</v>
      </c>
      <c r="L1171" s="202">
        <v>62</v>
      </c>
      <c r="M1171" s="185" t="s">
        <v>271</v>
      </c>
      <c r="N1171" s="185" t="s">
        <v>275</v>
      </c>
      <c r="O1171" s="185" t="s">
        <v>278</v>
      </c>
      <c r="P1171" s="186">
        <v>2872957.67</v>
      </c>
      <c r="Q1171" s="186">
        <v>0</v>
      </c>
      <c r="R1171" s="186">
        <v>0</v>
      </c>
      <c r="S1171" s="186">
        <f>P1171-Q1171-R1171</f>
        <v>2872957.67</v>
      </c>
      <c r="T1171" s="189">
        <f t="shared" si="191"/>
        <v>1324.9144165540649</v>
      </c>
      <c r="U1171" s="189">
        <v>2489.503779820237</v>
      </c>
      <c r="V1171" s="170">
        <f t="shared" si="187"/>
        <v>1164.5893632661721</v>
      </c>
      <c r="W1171" s="170"/>
      <c r="X1171" s="170"/>
      <c r="Y1171" s="173" t="e">
        <f t="shared" si="188"/>
        <v>#N/A</v>
      </c>
      <c r="AA1171" s="173" t="e">
        <f t="shared" si="179"/>
        <v>#N/A</v>
      </c>
      <c r="AH1171" s="173" t="e">
        <f t="shared" si="180"/>
        <v>#N/A</v>
      </c>
      <c r="AS1171" s="173" t="e">
        <f t="shared" si="181"/>
        <v>#N/A</v>
      </c>
      <c r="DT1171" s="144"/>
      <c r="DU1171" s="144"/>
      <c r="DV1171" s="144"/>
      <c r="EJ1171" s="145"/>
      <c r="ES1171" s="146"/>
      <c r="FV1171" s="147"/>
      <c r="GL1171" s="148"/>
    </row>
    <row r="1172" spans="1:194" s="173" customFormat="1" ht="36" customHeight="1" x14ac:dyDescent="0.9">
      <c r="B1172" s="90" t="s">
        <v>870</v>
      </c>
      <c r="C1172" s="90"/>
      <c r="D1172" s="185" t="s">
        <v>915</v>
      </c>
      <c r="E1172" s="185" t="s">
        <v>915</v>
      </c>
      <c r="F1172" s="185" t="s">
        <v>915</v>
      </c>
      <c r="G1172" s="185" t="s">
        <v>915</v>
      </c>
      <c r="H1172" s="185" t="s">
        <v>915</v>
      </c>
      <c r="I1172" s="186">
        <f>I1173</f>
        <v>780.3</v>
      </c>
      <c r="J1172" s="186">
        <f>J1173</f>
        <v>720.3</v>
      </c>
      <c r="K1172" s="186">
        <f>K1173</f>
        <v>720.3</v>
      </c>
      <c r="L1172" s="187">
        <f>L1173</f>
        <v>24</v>
      </c>
      <c r="M1172" s="185" t="s">
        <v>915</v>
      </c>
      <c r="N1172" s="185" t="s">
        <v>915</v>
      </c>
      <c r="O1172" s="188" t="s">
        <v>915</v>
      </c>
      <c r="P1172" s="189">
        <v>2311215.4500000002</v>
      </c>
      <c r="Q1172" s="189">
        <f>Q1173</f>
        <v>0</v>
      </c>
      <c r="R1172" s="189">
        <f>R1173</f>
        <v>0</v>
      </c>
      <c r="S1172" s="189">
        <f>S1173</f>
        <v>2311215.4500000002</v>
      </c>
      <c r="T1172" s="189">
        <f t="shared" si="191"/>
        <v>2961.9575163398695</v>
      </c>
      <c r="U1172" s="189">
        <f>U1173</f>
        <v>3145.2595155709346</v>
      </c>
      <c r="V1172" s="170">
        <f t="shared" si="187"/>
        <v>183.30199923106511</v>
      </c>
      <c r="W1172" s="170"/>
      <c r="X1172" s="170"/>
      <c r="Y1172" s="173" t="e">
        <f t="shared" si="188"/>
        <v>#N/A</v>
      </c>
      <c r="AA1172" s="173" t="e">
        <f t="shared" si="179"/>
        <v>#N/A</v>
      </c>
      <c r="AH1172" s="173" t="e">
        <f t="shared" si="180"/>
        <v>#N/A</v>
      </c>
      <c r="AS1172" s="173" t="e">
        <f t="shared" si="181"/>
        <v>#N/A</v>
      </c>
    </row>
    <row r="1173" spans="1:194" s="142" customFormat="1" ht="36" customHeight="1" x14ac:dyDescent="0.9">
      <c r="A1173" s="173">
        <v>1</v>
      </c>
      <c r="B1173" s="91">
        <f>SUBTOTAL(103,$A$957:A1173)</f>
        <v>179</v>
      </c>
      <c r="C1173" s="201" t="s">
        <v>64</v>
      </c>
      <c r="D1173" s="185">
        <v>1964</v>
      </c>
      <c r="E1173" s="185"/>
      <c r="F1173" s="203" t="s">
        <v>273</v>
      </c>
      <c r="G1173" s="185">
        <v>2</v>
      </c>
      <c r="H1173" s="185">
        <v>2</v>
      </c>
      <c r="I1173" s="186">
        <v>780.3</v>
      </c>
      <c r="J1173" s="186">
        <v>720.3</v>
      </c>
      <c r="K1173" s="186">
        <v>720.3</v>
      </c>
      <c r="L1173" s="202">
        <v>24</v>
      </c>
      <c r="M1173" s="185" t="s">
        <v>271</v>
      </c>
      <c r="N1173" s="185" t="s">
        <v>275</v>
      </c>
      <c r="O1173" s="185" t="s">
        <v>279</v>
      </c>
      <c r="P1173" s="186">
        <v>2311215.4500000002</v>
      </c>
      <c r="Q1173" s="186">
        <v>0</v>
      </c>
      <c r="R1173" s="186">
        <v>0</v>
      </c>
      <c r="S1173" s="186">
        <f>P1173-Q1173-R1173</f>
        <v>2311215.4500000002</v>
      </c>
      <c r="T1173" s="189">
        <f t="shared" si="191"/>
        <v>2961.9575163398695</v>
      </c>
      <c r="U1173" s="189">
        <f>Y1173</f>
        <v>3145.2595155709346</v>
      </c>
      <c r="V1173" s="170">
        <f t="shared" si="187"/>
        <v>183.30199923106511</v>
      </c>
      <c r="W1173" s="170"/>
      <c r="X1173" s="170"/>
      <c r="Y1173" s="173">
        <f t="shared" si="188"/>
        <v>3145.2595155709346</v>
      </c>
      <c r="AA1173" s="173">
        <f t="shared" si="179"/>
        <v>470</v>
      </c>
      <c r="AH1173" s="173" t="e">
        <f t="shared" si="180"/>
        <v>#N/A</v>
      </c>
      <c r="AS1173" s="173" t="e">
        <f t="shared" si="181"/>
        <v>#N/A</v>
      </c>
      <c r="DT1173" s="144"/>
      <c r="DU1173" s="144"/>
      <c r="DV1173" s="144"/>
      <c r="EJ1173" s="145"/>
      <c r="ES1173" s="146"/>
      <c r="FV1173" s="147"/>
      <c r="GL1173" s="148"/>
    </row>
    <row r="1174" spans="1:194" s="173" customFormat="1" ht="36" customHeight="1" x14ac:dyDescent="0.9">
      <c r="B1174" s="90" t="s">
        <v>908</v>
      </c>
      <c r="C1174" s="90"/>
      <c r="D1174" s="185" t="s">
        <v>915</v>
      </c>
      <c r="E1174" s="185" t="s">
        <v>915</v>
      </c>
      <c r="F1174" s="185" t="s">
        <v>915</v>
      </c>
      <c r="G1174" s="185" t="s">
        <v>915</v>
      </c>
      <c r="H1174" s="185" t="s">
        <v>915</v>
      </c>
      <c r="I1174" s="186">
        <f>I1175</f>
        <v>540.79999999999995</v>
      </c>
      <c r="J1174" s="186">
        <f>J1175</f>
        <v>281.10000000000002</v>
      </c>
      <c r="K1174" s="186">
        <f>K1175</f>
        <v>251.8</v>
      </c>
      <c r="L1174" s="187">
        <f>L1175</f>
        <v>15</v>
      </c>
      <c r="M1174" s="185" t="s">
        <v>915</v>
      </c>
      <c r="N1174" s="185" t="s">
        <v>915</v>
      </c>
      <c r="O1174" s="188" t="s">
        <v>915</v>
      </c>
      <c r="P1174" s="189">
        <v>3215375.5700000003</v>
      </c>
      <c r="Q1174" s="189">
        <f>Q1175</f>
        <v>0</v>
      </c>
      <c r="R1174" s="189">
        <f>R1175</f>
        <v>0</v>
      </c>
      <c r="S1174" s="189">
        <f>S1175</f>
        <v>3215375.5700000003</v>
      </c>
      <c r="T1174" s="189">
        <f t="shared" si="191"/>
        <v>5945.5909208579897</v>
      </c>
      <c r="U1174" s="189">
        <f>U1175</f>
        <v>5945.5909171597641</v>
      </c>
      <c r="V1174" s="170">
        <f t="shared" si="187"/>
        <v>-3.6982255551265553E-6</v>
      </c>
      <c r="W1174" s="170"/>
      <c r="X1174" s="170"/>
      <c r="Y1174" s="173" t="e">
        <f t="shared" si="188"/>
        <v>#N/A</v>
      </c>
      <c r="AA1174" s="173" t="e">
        <f t="shared" si="179"/>
        <v>#N/A</v>
      </c>
      <c r="AH1174" s="173" t="e">
        <f t="shared" si="180"/>
        <v>#N/A</v>
      </c>
      <c r="AS1174" s="173" t="e">
        <f t="shared" si="181"/>
        <v>#N/A</v>
      </c>
    </row>
    <row r="1175" spans="1:194" s="142" customFormat="1" ht="36" customHeight="1" x14ac:dyDescent="0.9">
      <c r="A1175" s="173">
        <v>1</v>
      </c>
      <c r="B1175" s="91">
        <f>SUBTOTAL(103,$A$957:A1175)</f>
        <v>180</v>
      </c>
      <c r="C1175" s="201" t="s">
        <v>70</v>
      </c>
      <c r="D1175" s="185">
        <v>1958</v>
      </c>
      <c r="E1175" s="185"/>
      <c r="F1175" s="203" t="s">
        <v>273</v>
      </c>
      <c r="G1175" s="185">
        <v>2</v>
      </c>
      <c r="H1175" s="185">
        <v>2</v>
      </c>
      <c r="I1175" s="186">
        <v>540.79999999999995</v>
      </c>
      <c r="J1175" s="186">
        <v>281.10000000000002</v>
      </c>
      <c r="K1175" s="186">
        <v>251.8</v>
      </c>
      <c r="L1175" s="202">
        <v>15</v>
      </c>
      <c r="M1175" s="185" t="s">
        <v>271</v>
      </c>
      <c r="N1175" s="185" t="s">
        <v>272</v>
      </c>
      <c r="O1175" s="185" t="s">
        <v>274</v>
      </c>
      <c r="P1175" s="186">
        <v>3215375.5700000003</v>
      </c>
      <c r="Q1175" s="186">
        <v>0</v>
      </c>
      <c r="R1175" s="186">
        <v>0</v>
      </c>
      <c r="S1175" s="186">
        <f>P1175-Q1175-R1175</f>
        <v>3215375.5700000003</v>
      </c>
      <c r="T1175" s="189">
        <f t="shared" si="191"/>
        <v>5945.5909208579897</v>
      </c>
      <c r="U1175" s="189">
        <f>Y1175</f>
        <v>5945.5909171597641</v>
      </c>
      <c r="V1175" s="170">
        <f t="shared" si="187"/>
        <v>-3.6982255551265553E-6</v>
      </c>
      <c r="W1175" s="170"/>
      <c r="X1175" s="170"/>
      <c r="Y1175" s="173">
        <f t="shared" si="188"/>
        <v>5945.5909171597641</v>
      </c>
      <c r="AA1175" s="173">
        <f t="shared" si="179"/>
        <v>615.76</v>
      </c>
      <c r="AH1175" s="173" t="e">
        <f t="shared" si="180"/>
        <v>#N/A</v>
      </c>
      <c r="AS1175" s="173" t="e">
        <f t="shared" si="181"/>
        <v>#N/A</v>
      </c>
      <c r="DT1175" s="144"/>
      <c r="DU1175" s="144"/>
      <c r="DV1175" s="144"/>
      <c r="EJ1175" s="145"/>
      <c r="ES1175" s="146"/>
      <c r="FV1175" s="147"/>
      <c r="GL1175" s="148"/>
    </row>
    <row r="1176" spans="1:194" s="173" customFormat="1" ht="36" customHeight="1" x14ac:dyDescent="0.9">
      <c r="B1176" s="90" t="s">
        <v>871</v>
      </c>
      <c r="C1176" s="90"/>
      <c r="D1176" s="185" t="s">
        <v>915</v>
      </c>
      <c r="E1176" s="185" t="s">
        <v>915</v>
      </c>
      <c r="F1176" s="185" t="s">
        <v>915</v>
      </c>
      <c r="G1176" s="185" t="s">
        <v>915</v>
      </c>
      <c r="H1176" s="185" t="s">
        <v>915</v>
      </c>
      <c r="I1176" s="186">
        <f>SUM(I1177:I1179)</f>
        <v>2550.6999999999998</v>
      </c>
      <c r="J1176" s="186">
        <f>SUM(J1177:J1179)</f>
        <v>2342.9800000000005</v>
      </c>
      <c r="K1176" s="186">
        <f>SUM(K1177:K1179)</f>
        <v>2272.58</v>
      </c>
      <c r="L1176" s="187">
        <f>SUM(L1177:L1179)</f>
        <v>119</v>
      </c>
      <c r="M1176" s="185" t="s">
        <v>915</v>
      </c>
      <c r="N1176" s="185" t="s">
        <v>915</v>
      </c>
      <c r="O1176" s="188" t="s">
        <v>915</v>
      </c>
      <c r="P1176" s="189">
        <v>10672314.84</v>
      </c>
      <c r="Q1176" s="189">
        <f>Q1177+Q1178+Q1179</f>
        <v>0</v>
      </c>
      <c r="R1176" s="189">
        <f>R1177+R1178+R1179</f>
        <v>0</v>
      </c>
      <c r="S1176" s="189">
        <f>S1177+S1178+S1179</f>
        <v>10672314.84</v>
      </c>
      <c r="T1176" s="189">
        <f t="shared" si="191"/>
        <v>4184.0729368408674</v>
      </c>
      <c r="U1176" s="189">
        <f>MAX(U1177:U1179)</f>
        <v>5060.3010309278352</v>
      </c>
      <c r="V1176" s="170">
        <f t="shared" si="187"/>
        <v>876.22809408696776</v>
      </c>
      <c r="W1176" s="170"/>
      <c r="X1176" s="170"/>
      <c r="Y1176" s="173" t="e">
        <f t="shared" si="188"/>
        <v>#N/A</v>
      </c>
      <c r="AA1176" s="173" t="e">
        <f t="shared" si="179"/>
        <v>#N/A</v>
      </c>
      <c r="AH1176" s="173" t="e">
        <f t="shared" si="180"/>
        <v>#N/A</v>
      </c>
      <c r="AS1176" s="173" t="e">
        <f t="shared" si="181"/>
        <v>#N/A</v>
      </c>
    </row>
    <row r="1177" spans="1:194" s="142" customFormat="1" ht="36" customHeight="1" x14ac:dyDescent="0.9">
      <c r="A1177" s="173">
        <v>1</v>
      </c>
      <c r="B1177" s="91">
        <f>SUBTOTAL(103,$A$957:A1177)</f>
        <v>181</v>
      </c>
      <c r="C1177" s="201" t="s">
        <v>71</v>
      </c>
      <c r="D1177" s="185">
        <v>1979</v>
      </c>
      <c r="E1177" s="185"/>
      <c r="F1177" s="203" t="s">
        <v>273</v>
      </c>
      <c r="G1177" s="185">
        <v>3</v>
      </c>
      <c r="H1177" s="185">
        <v>2</v>
      </c>
      <c r="I1177" s="186">
        <v>850.1</v>
      </c>
      <c r="J1177" s="186">
        <v>757.1</v>
      </c>
      <c r="K1177" s="186">
        <v>745</v>
      </c>
      <c r="L1177" s="202">
        <v>29</v>
      </c>
      <c r="M1177" s="185" t="s">
        <v>271</v>
      </c>
      <c r="N1177" s="185" t="s">
        <v>272</v>
      </c>
      <c r="O1177" s="185" t="s">
        <v>274</v>
      </c>
      <c r="P1177" s="186">
        <v>2391584.4</v>
      </c>
      <c r="Q1177" s="186">
        <v>0</v>
      </c>
      <c r="R1177" s="186">
        <v>0</v>
      </c>
      <c r="S1177" s="186">
        <f>P1177-Q1177-R1177</f>
        <v>2391584.4</v>
      </c>
      <c r="T1177" s="189">
        <f t="shared" si="191"/>
        <v>2813.2977296788613</v>
      </c>
      <c r="U1177" s="189">
        <f>Y1177</f>
        <v>2813.2977296788613</v>
      </c>
      <c r="V1177" s="170">
        <f t="shared" si="187"/>
        <v>0</v>
      </c>
      <c r="W1177" s="170"/>
      <c r="X1177" s="170"/>
      <c r="Y1177" s="173">
        <f t="shared" si="188"/>
        <v>2813.2977296788613</v>
      </c>
      <c r="AA1177" s="173">
        <f t="shared" si="179"/>
        <v>458</v>
      </c>
      <c r="AH1177" s="173" t="e">
        <f t="shared" si="180"/>
        <v>#N/A</v>
      </c>
      <c r="AS1177" s="173" t="e">
        <f t="shared" si="181"/>
        <v>#N/A</v>
      </c>
      <c r="DT1177" s="144"/>
      <c r="DU1177" s="144"/>
      <c r="DV1177" s="144"/>
      <c r="EJ1177" s="145"/>
      <c r="ES1177" s="146"/>
      <c r="FV1177" s="147"/>
      <c r="GL1177" s="148"/>
    </row>
    <row r="1178" spans="1:194" s="142" customFormat="1" ht="36" customHeight="1" x14ac:dyDescent="0.9">
      <c r="A1178" s="173">
        <v>1</v>
      </c>
      <c r="B1178" s="91">
        <f>SUBTOTAL(103,$A$957:A1178)</f>
        <v>182</v>
      </c>
      <c r="C1178" s="201" t="s">
        <v>72</v>
      </c>
      <c r="D1178" s="185">
        <v>1980</v>
      </c>
      <c r="E1178" s="185"/>
      <c r="F1178" s="203" t="s">
        <v>273</v>
      </c>
      <c r="G1178" s="185">
        <v>2</v>
      </c>
      <c r="H1178" s="185">
        <v>2</v>
      </c>
      <c r="I1178" s="186">
        <v>970</v>
      </c>
      <c r="J1178" s="186">
        <v>885.2</v>
      </c>
      <c r="K1178" s="186">
        <v>826.90000000000009</v>
      </c>
      <c r="L1178" s="202">
        <v>60</v>
      </c>
      <c r="M1178" s="185" t="s">
        <v>271</v>
      </c>
      <c r="N1178" s="185" t="s">
        <v>272</v>
      </c>
      <c r="O1178" s="185" t="s">
        <v>274</v>
      </c>
      <c r="P1178" s="186">
        <v>4908492</v>
      </c>
      <c r="Q1178" s="186">
        <v>0</v>
      </c>
      <c r="R1178" s="186">
        <v>0</v>
      </c>
      <c r="S1178" s="186">
        <f>P1178-Q1178-R1178</f>
        <v>4908492</v>
      </c>
      <c r="T1178" s="189">
        <f t="shared" si="191"/>
        <v>5060.3010309278352</v>
      </c>
      <c r="U1178" s="189">
        <f>Y1178</f>
        <v>5060.3010309278352</v>
      </c>
      <c r="V1178" s="170">
        <f t="shared" si="187"/>
        <v>0</v>
      </c>
      <c r="W1178" s="170"/>
      <c r="X1178" s="170"/>
      <c r="Y1178" s="173">
        <f t="shared" si="188"/>
        <v>5060.3010309278352</v>
      </c>
      <c r="AA1178" s="173">
        <f t="shared" si="179"/>
        <v>940</v>
      </c>
      <c r="AH1178" s="173" t="e">
        <f t="shared" si="180"/>
        <v>#N/A</v>
      </c>
      <c r="AS1178" s="173" t="e">
        <f t="shared" si="181"/>
        <v>#N/A</v>
      </c>
      <c r="DT1178" s="144"/>
      <c r="DU1178" s="144"/>
      <c r="DV1178" s="144"/>
      <c r="EJ1178" s="145"/>
      <c r="ES1178" s="146"/>
      <c r="FV1178" s="147"/>
      <c r="GL1178" s="148"/>
    </row>
    <row r="1179" spans="1:194" s="142" customFormat="1" ht="36" customHeight="1" x14ac:dyDescent="0.9">
      <c r="A1179" s="173">
        <v>1</v>
      </c>
      <c r="B1179" s="91">
        <f>SUBTOTAL(103,$A$957:A1179)</f>
        <v>183</v>
      </c>
      <c r="C1179" s="201" t="s">
        <v>73</v>
      </c>
      <c r="D1179" s="185">
        <v>1969</v>
      </c>
      <c r="E1179" s="185"/>
      <c r="F1179" s="203" t="s">
        <v>273</v>
      </c>
      <c r="G1179" s="185">
        <v>2</v>
      </c>
      <c r="H1179" s="185">
        <v>2</v>
      </c>
      <c r="I1179" s="186">
        <v>730.6</v>
      </c>
      <c r="J1179" s="186">
        <v>700.68000000000006</v>
      </c>
      <c r="K1179" s="186">
        <v>700.68</v>
      </c>
      <c r="L1179" s="202">
        <v>30</v>
      </c>
      <c r="M1179" s="185" t="s">
        <v>271</v>
      </c>
      <c r="N1179" s="185" t="s">
        <v>272</v>
      </c>
      <c r="O1179" s="185" t="s">
        <v>274</v>
      </c>
      <c r="P1179" s="186">
        <v>3372238.44</v>
      </c>
      <c r="Q1179" s="186">
        <v>0</v>
      </c>
      <c r="R1179" s="186">
        <v>0</v>
      </c>
      <c r="S1179" s="186">
        <f>P1179-Q1179-R1179</f>
        <v>3372238.44</v>
      </c>
      <c r="T1179" s="189">
        <f t="shared" si="191"/>
        <v>4615.710977278949</v>
      </c>
      <c r="U1179" s="189">
        <f>Y1179</f>
        <v>4615.710977278949</v>
      </c>
      <c r="V1179" s="170">
        <f t="shared" si="187"/>
        <v>0</v>
      </c>
      <c r="W1179" s="170"/>
      <c r="X1179" s="170"/>
      <c r="Y1179" s="173">
        <f t="shared" si="188"/>
        <v>4615.710977278949</v>
      </c>
      <c r="AA1179" s="173">
        <f t="shared" si="179"/>
        <v>645.79999999999995</v>
      </c>
      <c r="AH1179" s="173" t="e">
        <f t="shared" si="180"/>
        <v>#N/A</v>
      </c>
      <c r="AS1179" s="173" t="e">
        <f t="shared" si="181"/>
        <v>#N/A</v>
      </c>
      <c r="DT1179" s="144"/>
      <c r="DU1179" s="144"/>
      <c r="DV1179" s="144"/>
      <c r="EJ1179" s="145"/>
      <c r="ES1179" s="146"/>
      <c r="FV1179" s="147"/>
      <c r="GL1179" s="148"/>
    </row>
    <row r="1180" spans="1:194" s="173" customFormat="1" ht="36" customHeight="1" x14ac:dyDescent="0.9">
      <c r="B1180" s="90" t="s">
        <v>867</v>
      </c>
      <c r="C1180" s="90"/>
      <c r="D1180" s="185" t="s">
        <v>915</v>
      </c>
      <c r="E1180" s="185" t="s">
        <v>915</v>
      </c>
      <c r="F1180" s="185" t="s">
        <v>915</v>
      </c>
      <c r="G1180" s="185" t="s">
        <v>915</v>
      </c>
      <c r="H1180" s="185" t="s">
        <v>915</v>
      </c>
      <c r="I1180" s="186">
        <f>I1181</f>
        <v>5523</v>
      </c>
      <c r="J1180" s="186">
        <f>J1181</f>
        <v>4105.6000000000004</v>
      </c>
      <c r="K1180" s="186">
        <f>K1181</f>
        <v>2967.3500000000004</v>
      </c>
      <c r="L1180" s="187">
        <f>L1181</f>
        <v>208</v>
      </c>
      <c r="M1180" s="185" t="s">
        <v>915</v>
      </c>
      <c r="N1180" s="185" t="s">
        <v>915</v>
      </c>
      <c r="O1180" s="188" t="s">
        <v>915</v>
      </c>
      <c r="P1180" s="189">
        <v>3912770.8299999996</v>
      </c>
      <c r="Q1180" s="189">
        <f>Q1181</f>
        <v>0</v>
      </c>
      <c r="R1180" s="189">
        <f>R1181</f>
        <v>0</v>
      </c>
      <c r="S1180" s="189">
        <f>S1181</f>
        <v>3912770.8299999996</v>
      </c>
      <c r="T1180" s="189">
        <f t="shared" si="191"/>
        <v>708.45026797030596</v>
      </c>
      <c r="U1180" s="189">
        <f>U1181</f>
        <v>1248.0130363932644</v>
      </c>
      <c r="V1180" s="170">
        <f t="shared" si="187"/>
        <v>539.56276842295847</v>
      </c>
      <c r="W1180" s="170"/>
      <c r="X1180" s="170"/>
      <c r="Y1180" s="173" t="e">
        <f t="shared" si="188"/>
        <v>#N/A</v>
      </c>
      <c r="AA1180" s="173" t="e">
        <f t="shared" ref="AA1180:AA1226" si="192">VLOOKUP(C1180,AC:AE,2,FALSE)</f>
        <v>#N/A</v>
      </c>
      <c r="AH1180" s="173" t="e">
        <f t="shared" ref="AH1180:AH1226" si="193">VLOOKUP(C1180,AJ:AK,2,FALSE)</f>
        <v>#N/A</v>
      </c>
      <c r="AS1180" s="173" t="e">
        <f t="shared" ref="AS1180:AS1226" si="194">VLOOKUP(C1180,AU:AV,2,FALSE)</f>
        <v>#N/A</v>
      </c>
    </row>
    <row r="1181" spans="1:194" s="142" customFormat="1" ht="36" customHeight="1" x14ac:dyDescent="0.9">
      <c r="A1181" s="173">
        <v>1</v>
      </c>
      <c r="B1181" s="91">
        <f>SUBTOTAL(103,$A$957:A1181)</f>
        <v>184</v>
      </c>
      <c r="C1181" s="201" t="s">
        <v>1610</v>
      </c>
      <c r="D1181" s="185">
        <v>1979</v>
      </c>
      <c r="E1181" s="185"/>
      <c r="F1181" s="203" t="s">
        <v>1620</v>
      </c>
      <c r="G1181" s="185">
        <v>5</v>
      </c>
      <c r="H1181" s="185">
        <v>6</v>
      </c>
      <c r="I1181" s="186">
        <v>5523</v>
      </c>
      <c r="J1181" s="186">
        <v>4105.6000000000004</v>
      </c>
      <c r="K1181" s="186">
        <f>3015.05-47.7</f>
        <v>2967.3500000000004</v>
      </c>
      <c r="L1181" s="202">
        <v>208</v>
      </c>
      <c r="M1181" s="185" t="s">
        <v>271</v>
      </c>
      <c r="N1181" s="185" t="s">
        <v>275</v>
      </c>
      <c r="O1181" s="185" t="s">
        <v>1572</v>
      </c>
      <c r="P1181" s="186">
        <v>3912770.8299999996</v>
      </c>
      <c r="Q1181" s="186">
        <v>0</v>
      </c>
      <c r="R1181" s="186">
        <v>0</v>
      </c>
      <c r="S1181" s="186">
        <f>P1181-Q1181-R1181</f>
        <v>3912770.8299999996</v>
      </c>
      <c r="T1181" s="189">
        <f t="shared" si="191"/>
        <v>708.45026797030596</v>
      </c>
      <c r="U1181" s="189">
        <f>Y1181</f>
        <v>1248.0130363932644</v>
      </c>
      <c r="V1181" s="170">
        <f t="shared" si="187"/>
        <v>539.56276842295847</v>
      </c>
      <c r="W1181" s="170"/>
      <c r="X1181" s="170"/>
      <c r="Y1181" s="173">
        <f t="shared" si="188"/>
        <v>1248.0130363932644</v>
      </c>
      <c r="AA1181" s="173">
        <f t="shared" si="192"/>
        <v>1320</v>
      </c>
      <c r="AH1181" s="173" t="e">
        <f t="shared" si="193"/>
        <v>#N/A</v>
      </c>
      <c r="AS1181" s="173" t="e">
        <f t="shared" si="194"/>
        <v>#N/A</v>
      </c>
      <c r="DT1181" s="144"/>
      <c r="DU1181" s="144"/>
      <c r="DV1181" s="144"/>
      <c r="EJ1181" s="145"/>
      <c r="ES1181" s="146"/>
      <c r="FV1181" s="147"/>
      <c r="GL1181" s="148"/>
    </row>
    <row r="1182" spans="1:194" s="173" customFormat="1" ht="36" customHeight="1" x14ac:dyDescent="0.9">
      <c r="B1182" s="90" t="s">
        <v>872</v>
      </c>
      <c r="C1182" s="192"/>
      <c r="D1182" s="185" t="s">
        <v>915</v>
      </c>
      <c r="E1182" s="185" t="s">
        <v>915</v>
      </c>
      <c r="F1182" s="185" t="s">
        <v>915</v>
      </c>
      <c r="G1182" s="185" t="s">
        <v>915</v>
      </c>
      <c r="H1182" s="185" t="s">
        <v>915</v>
      </c>
      <c r="I1182" s="186">
        <f>I1183</f>
        <v>1046.8</v>
      </c>
      <c r="J1182" s="186">
        <f>J1183</f>
        <v>929.5</v>
      </c>
      <c r="K1182" s="186">
        <f>K1183</f>
        <v>929.5</v>
      </c>
      <c r="L1182" s="187">
        <f>L1183</f>
        <v>44</v>
      </c>
      <c r="M1182" s="185" t="s">
        <v>915</v>
      </c>
      <c r="N1182" s="185" t="s">
        <v>915</v>
      </c>
      <c r="O1182" s="188" t="s">
        <v>915</v>
      </c>
      <c r="P1182" s="189">
        <v>4804056</v>
      </c>
      <c r="Q1182" s="189">
        <f>Q1183</f>
        <v>0</v>
      </c>
      <c r="R1182" s="189">
        <f>R1183</f>
        <v>0</v>
      </c>
      <c r="S1182" s="189">
        <f>S1183</f>
        <v>4804056</v>
      </c>
      <c r="T1182" s="189">
        <f t="shared" si="191"/>
        <v>4589.277799006496</v>
      </c>
      <c r="U1182" s="189">
        <f>U1183</f>
        <v>4614.2195261750094</v>
      </c>
      <c r="V1182" s="170">
        <f t="shared" si="187"/>
        <v>24.941727168513353</v>
      </c>
      <c r="W1182" s="170"/>
      <c r="X1182" s="170"/>
      <c r="Y1182" s="173" t="e">
        <f t="shared" si="188"/>
        <v>#N/A</v>
      </c>
      <c r="AA1182" s="173" t="e">
        <f t="shared" si="192"/>
        <v>#N/A</v>
      </c>
      <c r="AH1182" s="173" t="e">
        <f t="shared" si="193"/>
        <v>#N/A</v>
      </c>
      <c r="AS1182" s="173" t="e">
        <f t="shared" si="194"/>
        <v>#N/A</v>
      </c>
    </row>
    <row r="1183" spans="1:194" s="142" customFormat="1" ht="36" customHeight="1" x14ac:dyDescent="0.9">
      <c r="A1183" s="173">
        <v>1</v>
      </c>
      <c r="B1183" s="91">
        <f>SUBTOTAL(103,$A$957:A1183)</f>
        <v>185</v>
      </c>
      <c r="C1183" s="201" t="s">
        <v>231</v>
      </c>
      <c r="D1183" s="185">
        <v>1994</v>
      </c>
      <c r="E1183" s="185"/>
      <c r="F1183" s="203" t="s">
        <v>273</v>
      </c>
      <c r="G1183" s="185">
        <v>2</v>
      </c>
      <c r="H1183" s="185">
        <v>2</v>
      </c>
      <c r="I1183" s="186">
        <v>1046.8</v>
      </c>
      <c r="J1183" s="186">
        <v>929.5</v>
      </c>
      <c r="K1183" s="186">
        <v>929.5</v>
      </c>
      <c r="L1183" s="202">
        <v>44</v>
      </c>
      <c r="M1183" s="185" t="s">
        <v>271</v>
      </c>
      <c r="N1183" s="185" t="s">
        <v>275</v>
      </c>
      <c r="O1183" s="185" t="s">
        <v>726</v>
      </c>
      <c r="P1183" s="186">
        <v>4804056</v>
      </c>
      <c r="Q1183" s="186">
        <v>0</v>
      </c>
      <c r="R1183" s="186">
        <v>0</v>
      </c>
      <c r="S1183" s="186">
        <f>P1183-Q1183-R1183</f>
        <v>4804056</v>
      </c>
      <c r="T1183" s="189">
        <f t="shared" si="191"/>
        <v>4589.277799006496</v>
      </c>
      <c r="U1183" s="189">
        <f>Y1183</f>
        <v>4614.2195261750094</v>
      </c>
      <c r="V1183" s="170">
        <f t="shared" si="187"/>
        <v>24.941727168513353</v>
      </c>
      <c r="W1183" s="170"/>
      <c r="X1183" s="170"/>
      <c r="Y1183" s="173">
        <f t="shared" si="188"/>
        <v>4614.2195261750094</v>
      </c>
      <c r="AA1183" s="173">
        <f t="shared" si="192"/>
        <v>925</v>
      </c>
      <c r="AH1183" s="173" t="e">
        <f t="shared" si="193"/>
        <v>#N/A</v>
      </c>
      <c r="AS1183" s="173" t="e">
        <f t="shared" si="194"/>
        <v>#N/A</v>
      </c>
      <c r="DT1183" s="144"/>
      <c r="DU1183" s="144"/>
      <c r="DV1183" s="144"/>
      <c r="EJ1183" s="145"/>
      <c r="ES1183" s="146"/>
      <c r="FV1183" s="147"/>
      <c r="GL1183" s="148"/>
    </row>
    <row r="1184" spans="1:194" s="173" customFormat="1" ht="36" customHeight="1" x14ac:dyDescent="0.9">
      <c r="B1184" s="90" t="s">
        <v>907</v>
      </c>
      <c r="C1184" s="192"/>
      <c r="D1184" s="185" t="s">
        <v>915</v>
      </c>
      <c r="E1184" s="185" t="s">
        <v>915</v>
      </c>
      <c r="F1184" s="185" t="s">
        <v>915</v>
      </c>
      <c r="G1184" s="185" t="s">
        <v>915</v>
      </c>
      <c r="H1184" s="185" t="s">
        <v>915</v>
      </c>
      <c r="I1184" s="186">
        <f>I1185</f>
        <v>3554.5</v>
      </c>
      <c r="J1184" s="186">
        <f>J1185</f>
        <v>3290.7</v>
      </c>
      <c r="K1184" s="186">
        <f>K1185</f>
        <v>3220.4</v>
      </c>
      <c r="L1184" s="187">
        <f>L1185</f>
        <v>145</v>
      </c>
      <c r="M1184" s="185" t="s">
        <v>915</v>
      </c>
      <c r="N1184" s="185" t="s">
        <v>915</v>
      </c>
      <c r="O1184" s="188" t="s">
        <v>915</v>
      </c>
      <c r="P1184" s="189">
        <v>7284801.9000000004</v>
      </c>
      <c r="Q1184" s="189">
        <f>Q1185</f>
        <v>0</v>
      </c>
      <c r="R1184" s="189">
        <f>R1185</f>
        <v>0</v>
      </c>
      <c r="S1184" s="189">
        <f>S1185</f>
        <v>7284801.9000000004</v>
      </c>
      <c r="T1184" s="189">
        <f t="shared" si="191"/>
        <v>2049.4589675059783</v>
      </c>
      <c r="U1184" s="189">
        <f>U1185</f>
        <v>2205.8150893646189</v>
      </c>
      <c r="V1184" s="170">
        <f t="shared" si="187"/>
        <v>156.35612185864056</v>
      </c>
      <c r="W1184" s="170"/>
      <c r="X1184" s="170"/>
      <c r="Y1184" s="173" t="e">
        <f t="shared" si="188"/>
        <v>#N/A</v>
      </c>
      <c r="AA1184" s="173" t="e">
        <f t="shared" si="192"/>
        <v>#N/A</v>
      </c>
      <c r="AH1184" s="173" t="e">
        <f t="shared" si="193"/>
        <v>#N/A</v>
      </c>
      <c r="AS1184" s="173" t="e">
        <f t="shared" si="194"/>
        <v>#N/A</v>
      </c>
    </row>
    <row r="1185" spans="1:194" s="142" customFormat="1" ht="36" customHeight="1" x14ac:dyDescent="0.9">
      <c r="A1185" s="173">
        <v>1</v>
      </c>
      <c r="B1185" s="91">
        <f>SUBTOTAL(103,$A$957:A1185)</f>
        <v>186</v>
      </c>
      <c r="C1185" s="201" t="s">
        <v>162</v>
      </c>
      <c r="D1185" s="185">
        <v>1987</v>
      </c>
      <c r="E1185" s="185"/>
      <c r="F1185" s="203" t="s">
        <v>293</v>
      </c>
      <c r="G1185" s="185">
        <v>3</v>
      </c>
      <c r="H1185" s="185">
        <v>7</v>
      </c>
      <c r="I1185" s="186">
        <v>3554.5</v>
      </c>
      <c r="J1185" s="186">
        <v>3290.7</v>
      </c>
      <c r="K1185" s="186">
        <v>3220.4</v>
      </c>
      <c r="L1185" s="202">
        <v>145</v>
      </c>
      <c r="M1185" s="185" t="s">
        <v>271</v>
      </c>
      <c r="N1185" s="185" t="s">
        <v>275</v>
      </c>
      <c r="O1185" s="185" t="s">
        <v>1019</v>
      </c>
      <c r="P1185" s="186">
        <v>7284801.9000000004</v>
      </c>
      <c r="Q1185" s="186">
        <v>0</v>
      </c>
      <c r="R1185" s="186">
        <v>0</v>
      </c>
      <c r="S1185" s="186">
        <f>P1185-Q1185-R1185</f>
        <v>7284801.9000000004</v>
      </c>
      <c r="T1185" s="189">
        <f t="shared" si="191"/>
        <v>2049.4589675059783</v>
      </c>
      <c r="U1185" s="189">
        <f>Y1185</f>
        <v>2205.8150893646189</v>
      </c>
      <c r="V1185" s="170">
        <f t="shared" si="187"/>
        <v>156.35612185864056</v>
      </c>
      <c r="W1185" s="170"/>
      <c r="X1185" s="170"/>
      <c r="Y1185" s="173">
        <f t="shared" si="188"/>
        <v>2205.8150893646189</v>
      </c>
      <c r="AA1185" s="173">
        <f t="shared" si="192"/>
        <v>1501.50709241</v>
      </c>
      <c r="AH1185" s="173" t="e">
        <f t="shared" si="193"/>
        <v>#N/A</v>
      </c>
      <c r="AS1185" s="173" t="e">
        <f t="shared" si="194"/>
        <v>#N/A</v>
      </c>
      <c r="DT1185" s="144"/>
      <c r="DU1185" s="144"/>
      <c r="DV1185" s="144"/>
      <c r="EJ1185" s="145"/>
      <c r="ES1185" s="146"/>
      <c r="FV1185" s="147"/>
      <c r="GL1185" s="148"/>
    </row>
    <row r="1186" spans="1:194" s="173" customFormat="1" ht="36" customHeight="1" x14ac:dyDescent="0.9">
      <c r="B1186" s="90" t="s">
        <v>903</v>
      </c>
      <c r="C1186" s="90"/>
      <c r="D1186" s="185" t="s">
        <v>915</v>
      </c>
      <c r="E1186" s="185" t="s">
        <v>915</v>
      </c>
      <c r="F1186" s="185" t="s">
        <v>915</v>
      </c>
      <c r="G1186" s="185" t="s">
        <v>915</v>
      </c>
      <c r="H1186" s="185" t="s">
        <v>915</v>
      </c>
      <c r="I1186" s="186">
        <f>SUM(I1187:I1188)</f>
        <v>2640.94</v>
      </c>
      <c r="J1186" s="186">
        <f>SUM(J1187:J1188)</f>
        <v>1584.6</v>
      </c>
      <c r="K1186" s="186">
        <f>SUM(K1187:K1188)</f>
        <v>1443.9</v>
      </c>
      <c r="L1186" s="187">
        <f>SUM(L1187:L1188)</f>
        <v>88</v>
      </c>
      <c r="M1186" s="185" t="s">
        <v>915</v>
      </c>
      <c r="N1186" s="185" t="s">
        <v>915</v>
      </c>
      <c r="O1186" s="188" t="s">
        <v>915</v>
      </c>
      <c r="P1186" s="189">
        <v>4011881.02</v>
      </c>
      <c r="Q1186" s="189">
        <f>Q1187+Q1188</f>
        <v>0</v>
      </c>
      <c r="R1186" s="189">
        <f>R1187+R1188</f>
        <v>0</v>
      </c>
      <c r="S1186" s="189">
        <f>S1187+S1188</f>
        <v>4011881.02</v>
      </c>
      <c r="T1186" s="189">
        <f t="shared" si="191"/>
        <v>1519.1110059297068</v>
      </c>
      <c r="U1186" s="189">
        <f>MAX(U1187:U1188)</f>
        <v>2833.1902476780187</v>
      </c>
      <c r="V1186" s="170">
        <f t="shared" si="187"/>
        <v>1314.0792417483119</v>
      </c>
      <c r="W1186" s="170"/>
      <c r="X1186" s="170"/>
      <c r="Y1186" s="173" t="e">
        <f t="shared" si="188"/>
        <v>#N/A</v>
      </c>
      <c r="AA1186" s="173" t="e">
        <f t="shared" si="192"/>
        <v>#N/A</v>
      </c>
      <c r="AH1186" s="173" t="e">
        <f t="shared" si="193"/>
        <v>#N/A</v>
      </c>
      <c r="AS1186" s="173" t="e">
        <f t="shared" si="194"/>
        <v>#N/A</v>
      </c>
    </row>
    <row r="1187" spans="1:194" s="142" customFormat="1" ht="36" customHeight="1" x14ac:dyDescent="0.9">
      <c r="A1187" s="173">
        <v>1</v>
      </c>
      <c r="B1187" s="91">
        <f>SUBTOTAL(103,$A$957:A1187)</f>
        <v>187</v>
      </c>
      <c r="C1187" s="201" t="s">
        <v>168</v>
      </c>
      <c r="D1187" s="185">
        <v>1978</v>
      </c>
      <c r="E1187" s="185"/>
      <c r="F1187" s="203" t="s">
        <v>273</v>
      </c>
      <c r="G1187" s="185">
        <v>2</v>
      </c>
      <c r="H1187" s="185">
        <v>2</v>
      </c>
      <c r="I1187" s="186">
        <v>1219.74</v>
      </c>
      <c r="J1187" s="186">
        <v>712.8</v>
      </c>
      <c r="K1187" s="186">
        <v>712.8</v>
      </c>
      <c r="L1187" s="202">
        <v>41</v>
      </c>
      <c r="M1187" s="185" t="s">
        <v>271</v>
      </c>
      <c r="N1187" s="185" t="s">
        <v>275</v>
      </c>
      <c r="O1187" s="185" t="s">
        <v>1019</v>
      </c>
      <c r="P1187" s="186">
        <v>329863.09999999998</v>
      </c>
      <c r="Q1187" s="186">
        <v>0</v>
      </c>
      <c r="R1187" s="186">
        <v>0</v>
      </c>
      <c r="S1187" s="186">
        <f>P1187-Q1187-R1187</f>
        <v>329863.09999999998</v>
      </c>
      <c r="T1187" s="189">
        <f t="shared" si="191"/>
        <v>270.43722432649577</v>
      </c>
      <c r="U1187" s="189">
        <f>AG1187</f>
        <v>851.20864197530875</v>
      </c>
      <c r="V1187" s="170">
        <f t="shared" si="187"/>
        <v>580.77141764881299</v>
      </c>
      <c r="W1187" s="170"/>
      <c r="X1187" s="170"/>
      <c r="Y1187" s="173" t="e">
        <f t="shared" si="188"/>
        <v>#N/A</v>
      </c>
      <c r="AA1187" s="173" t="e">
        <f t="shared" si="192"/>
        <v>#N/A</v>
      </c>
      <c r="AG1187" s="173">
        <f>AH1187*6191.24/J1187</f>
        <v>851.20864197530875</v>
      </c>
      <c r="AH1187" s="173">
        <f t="shared" si="193"/>
        <v>98</v>
      </c>
      <c r="AS1187" s="173" t="e">
        <f t="shared" si="194"/>
        <v>#N/A</v>
      </c>
      <c r="DT1187" s="144"/>
      <c r="DU1187" s="144"/>
      <c r="DV1187" s="144"/>
      <c r="EJ1187" s="145"/>
      <c r="ES1187" s="146"/>
      <c r="FV1187" s="147"/>
      <c r="GL1187" s="148"/>
    </row>
    <row r="1188" spans="1:194" s="142" customFormat="1" ht="36" customHeight="1" x14ac:dyDescent="0.9">
      <c r="A1188" s="173">
        <v>1</v>
      </c>
      <c r="B1188" s="91">
        <f>SUBTOTAL(103,$A$957:A1188)</f>
        <v>188</v>
      </c>
      <c r="C1188" s="201" t="s">
        <v>169</v>
      </c>
      <c r="D1188" s="185">
        <v>1989</v>
      </c>
      <c r="E1188" s="185"/>
      <c r="F1188" s="203" t="s">
        <v>273</v>
      </c>
      <c r="G1188" s="185">
        <v>2</v>
      </c>
      <c r="H1188" s="185">
        <v>3</v>
      </c>
      <c r="I1188" s="186">
        <v>1421.2</v>
      </c>
      <c r="J1188" s="186">
        <v>871.8</v>
      </c>
      <c r="K1188" s="186">
        <v>731.1</v>
      </c>
      <c r="L1188" s="202">
        <v>47</v>
      </c>
      <c r="M1188" s="185" t="s">
        <v>271</v>
      </c>
      <c r="N1188" s="185" t="s">
        <v>275</v>
      </c>
      <c r="O1188" s="185" t="s">
        <v>1019</v>
      </c>
      <c r="P1188" s="186">
        <v>3682017.92</v>
      </c>
      <c r="Q1188" s="186">
        <v>0</v>
      </c>
      <c r="R1188" s="186">
        <v>0</v>
      </c>
      <c r="S1188" s="186">
        <f>P1188-Q1188-R1188</f>
        <v>3682017.92</v>
      </c>
      <c r="T1188" s="189">
        <f t="shared" si="191"/>
        <v>2590.7809738249366</v>
      </c>
      <c r="U1188" s="189">
        <f>Y1188</f>
        <v>2833.1902476780187</v>
      </c>
      <c r="V1188" s="170">
        <f t="shared" si="187"/>
        <v>242.40927385308214</v>
      </c>
      <c r="W1188" s="170"/>
      <c r="X1188" s="170"/>
      <c r="Y1188" s="173">
        <f t="shared" si="188"/>
        <v>2833.1902476780187</v>
      </c>
      <c r="AA1188" s="173">
        <f t="shared" si="192"/>
        <v>771.1</v>
      </c>
      <c r="AH1188" s="173" t="e">
        <f t="shared" si="193"/>
        <v>#N/A</v>
      </c>
      <c r="AS1188" s="173" t="e">
        <f t="shared" si="194"/>
        <v>#N/A</v>
      </c>
      <c r="DT1188" s="144"/>
      <c r="DU1188" s="144"/>
      <c r="DV1188" s="144"/>
      <c r="EJ1188" s="145"/>
      <c r="ES1188" s="146"/>
      <c r="FV1188" s="147"/>
      <c r="GL1188" s="148"/>
    </row>
    <row r="1189" spans="1:194" s="173" customFormat="1" ht="36" customHeight="1" x14ac:dyDescent="0.9">
      <c r="B1189" s="90" t="s">
        <v>876</v>
      </c>
      <c r="C1189" s="90"/>
      <c r="D1189" s="185" t="s">
        <v>915</v>
      </c>
      <c r="E1189" s="185" t="s">
        <v>915</v>
      </c>
      <c r="F1189" s="185" t="s">
        <v>915</v>
      </c>
      <c r="G1189" s="185" t="s">
        <v>915</v>
      </c>
      <c r="H1189" s="185" t="s">
        <v>915</v>
      </c>
      <c r="I1189" s="186">
        <f>I1190+I1191</f>
        <v>4173.3999999999996</v>
      </c>
      <c r="J1189" s="186">
        <f>J1190+J1191</f>
        <v>3874.5</v>
      </c>
      <c r="K1189" s="186">
        <f>K1190+K1191</f>
        <v>3773.7999999999997</v>
      </c>
      <c r="L1189" s="187">
        <f>L1190+L1191</f>
        <v>171</v>
      </c>
      <c r="M1189" s="185" t="s">
        <v>915</v>
      </c>
      <c r="N1189" s="185" t="s">
        <v>915</v>
      </c>
      <c r="O1189" s="188" t="s">
        <v>915</v>
      </c>
      <c r="P1189" s="189">
        <v>6026117.5699999994</v>
      </c>
      <c r="Q1189" s="189">
        <f>Q1190+Q1191</f>
        <v>0</v>
      </c>
      <c r="R1189" s="189">
        <f>R1190+R1191</f>
        <v>0</v>
      </c>
      <c r="S1189" s="189">
        <f>S1190+S1191</f>
        <v>6026117.5699999994</v>
      </c>
      <c r="T1189" s="189">
        <f t="shared" si="191"/>
        <v>1443.9348181338955</v>
      </c>
      <c r="U1189" s="189">
        <f>MAX(U1190:U1191)</f>
        <v>5373.6143665244508</v>
      </c>
      <c r="V1189" s="170">
        <f t="shared" ref="V1189:V1226" si="195">U1189-T1189</f>
        <v>3929.6795483905553</v>
      </c>
      <c r="W1189" s="170"/>
      <c r="X1189" s="170"/>
      <c r="Y1189" s="173" t="e">
        <f t="shared" ref="Y1189:Y1226" si="196">AA1189*5221.8/I1189</f>
        <v>#N/A</v>
      </c>
      <c r="AA1189" s="173" t="e">
        <f t="shared" si="192"/>
        <v>#N/A</v>
      </c>
      <c r="AH1189" s="173" t="e">
        <f t="shared" si="193"/>
        <v>#N/A</v>
      </c>
      <c r="AS1189" s="173" t="e">
        <f t="shared" si="194"/>
        <v>#N/A</v>
      </c>
    </row>
    <row r="1190" spans="1:194" s="142" customFormat="1" ht="36" customHeight="1" x14ac:dyDescent="0.9">
      <c r="A1190" s="173">
        <v>1</v>
      </c>
      <c r="B1190" s="91">
        <f>SUBTOTAL(103,$A$957:A1190)</f>
        <v>189</v>
      </c>
      <c r="C1190" s="201" t="s">
        <v>167</v>
      </c>
      <c r="D1190" s="185">
        <v>1971</v>
      </c>
      <c r="E1190" s="185"/>
      <c r="F1190" s="203" t="s">
        <v>293</v>
      </c>
      <c r="G1190" s="185">
        <v>5</v>
      </c>
      <c r="H1190" s="185">
        <v>4</v>
      </c>
      <c r="I1190" s="186">
        <v>3868.7</v>
      </c>
      <c r="J1190" s="186">
        <v>3593.8</v>
      </c>
      <c r="K1190" s="186">
        <v>3493.1</v>
      </c>
      <c r="L1190" s="202">
        <v>160</v>
      </c>
      <c r="M1190" s="185" t="s">
        <v>271</v>
      </c>
      <c r="N1190" s="185" t="s">
        <v>303</v>
      </c>
      <c r="O1190" s="185" t="s">
        <v>304</v>
      </c>
      <c r="P1190" s="186">
        <v>4388776.2699999996</v>
      </c>
      <c r="Q1190" s="186">
        <v>0</v>
      </c>
      <c r="R1190" s="186">
        <v>0</v>
      </c>
      <c r="S1190" s="186">
        <f>P1190-Q1190-R1190</f>
        <v>4388776.2699999996</v>
      </c>
      <c r="T1190" s="189">
        <f t="shared" si="191"/>
        <v>1134.4317910409181</v>
      </c>
      <c r="U1190" s="189">
        <f>Y1190</f>
        <v>1185.6254349006126</v>
      </c>
      <c r="V1190" s="170">
        <f t="shared" si="195"/>
        <v>51.193643859694475</v>
      </c>
      <c r="W1190" s="170"/>
      <c r="X1190" s="170"/>
      <c r="Y1190" s="173">
        <f t="shared" si="196"/>
        <v>1185.6254349006126</v>
      </c>
      <c r="AA1190" s="173">
        <f t="shared" si="192"/>
        <v>878.4</v>
      </c>
      <c r="AH1190" s="173" t="e">
        <f t="shared" si="193"/>
        <v>#N/A</v>
      </c>
      <c r="AS1190" s="173" t="e">
        <f t="shared" si="194"/>
        <v>#N/A</v>
      </c>
      <c r="DT1190" s="144"/>
      <c r="DU1190" s="144"/>
      <c r="DV1190" s="144"/>
      <c r="EJ1190" s="145"/>
      <c r="ES1190" s="146"/>
      <c r="FV1190" s="147"/>
      <c r="GL1190" s="148"/>
    </row>
    <row r="1191" spans="1:194" s="142" customFormat="1" ht="36" customHeight="1" x14ac:dyDescent="0.9">
      <c r="A1191" s="173">
        <v>1</v>
      </c>
      <c r="B1191" s="91">
        <f>SUBTOTAL(103,$A$957:A1191)</f>
        <v>190</v>
      </c>
      <c r="C1191" s="201" t="s">
        <v>166</v>
      </c>
      <c r="D1191" s="185">
        <v>1964</v>
      </c>
      <c r="E1191" s="185"/>
      <c r="F1191" s="203" t="s">
        <v>273</v>
      </c>
      <c r="G1191" s="185">
        <v>2</v>
      </c>
      <c r="H1191" s="185">
        <v>1</v>
      </c>
      <c r="I1191" s="186">
        <v>304.7</v>
      </c>
      <c r="J1191" s="186">
        <v>280.7</v>
      </c>
      <c r="K1191" s="186">
        <v>280.7</v>
      </c>
      <c r="L1191" s="202">
        <v>11</v>
      </c>
      <c r="M1191" s="185" t="s">
        <v>271</v>
      </c>
      <c r="N1191" s="185" t="s">
        <v>275</v>
      </c>
      <c r="O1191" s="185" t="s">
        <v>295</v>
      </c>
      <c r="P1191" s="186">
        <v>1637341.3</v>
      </c>
      <c r="Q1191" s="186">
        <v>0</v>
      </c>
      <c r="R1191" s="186">
        <v>0</v>
      </c>
      <c r="S1191" s="186">
        <f>P1191-Q1191-R1191</f>
        <v>1637341.3</v>
      </c>
      <c r="T1191" s="189">
        <f t="shared" si="191"/>
        <v>5373.6176567115199</v>
      </c>
      <c r="U1191" s="189">
        <f>Y1191</f>
        <v>5373.6143665244508</v>
      </c>
      <c r="V1191" s="170">
        <f t="shared" si="195"/>
        <v>-3.2901870690693613E-3</v>
      </c>
      <c r="W1191" s="170"/>
      <c r="X1191" s="170"/>
      <c r="Y1191" s="173">
        <f t="shared" si="196"/>
        <v>5373.6143665244508</v>
      </c>
      <c r="AA1191" s="173">
        <f t="shared" si="192"/>
        <v>313.55860000000001</v>
      </c>
      <c r="AH1191" s="173" t="e">
        <f t="shared" si="193"/>
        <v>#N/A</v>
      </c>
      <c r="AS1191" s="173" t="e">
        <f t="shared" si="194"/>
        <v>#N/A</v>
      </c>
      <c r="DT1191" s="144"/>
      <c r="DU1191" s="144"/>
      <c r="DV1191" s="144"/>
      <c r="EJ1191" s="145"/>
      <c r="ES1191" s="146"/>
      <c r="FV1191" s="147"/>
      <c r="GL1191" s="148"/>
    </row>
    <row r="1192" spans="1:194" s="173" customFormat="1" ht="36" customHeight="1" x14ac:dyDescent="0.9">
      <c r="B1192" s="90" t="s">
        <v>877</v>
      </c>
      <c r="C1192" s="90"/>
      <c r="D1192" s="185" t="s">
        <v>915</v>
      </c>
      <c r="E1192" s="185" t="s">
        <v>915</v>
      </c>
      <c r="F1192" s="185" t="s">
        <v>915</v>
      </c>
      <c r="G1192" s="185" t="s">
        <v>915</v>
      </c>
      <c r="H1192" s="185" t="s">
        <v>915</v>
      </c>
      <c r="I1192" s="186">
        <f>I1193+I1194+I1195</f>
        <v>13642.179999999998</v>
      </c>
      <c r="J1192" s="186">
        <f>J1193+J1194+J1195</f>
        <v>4926.2000000000007</v>
      </c>
      <c r="K1192" s="186">
        <f>K1193+K1194+K1195</f>
        <v>504.30000000000007</v>
      </c>
      <c r="L1192" s="187">
        <f>L1193+L1194+L1195</f>
        <v>327</v>
      </c>
      <c r="M1192" s="185" t="s">
        <v>915</v>
      </c>
      <c r="N1192" s="185" t="s">
        <v>915</v>
      </c>
      <c r="O1192" s="188" t="s">
        <v>915</v>
      </c>
      <c r="P1192" s="189">
        <v>12459674.15</v>
      </c>
      <c r="Q1192" s="189">
        <f>Q1193+Q1194+Q1195</f>
        <v>0</v>
      </c>
      <c r="R1192" s="189">
        <f>R1193+R1194+R1195</f>
        <v>0</v>
      </c>
      <c r="S1192" s="189">
        <f>S1193+S1194+S1195</f>
        <v>12459674.15</v>
      </c>
      <c r="T1192" s="189">
        <f t="shared" si="191"/>
        <v>913.31987629543096</v>
      </c>
      <c r="U1192" s="189">
        <f>MAX(U1193:U1195)</f>
        <v>1458.1438978875867</v>
      </c>
      <c r="V1192" s="170">
        <f t="shared" si="195"/>
        <v>544.82402159215576</v>
      </c>
      <c r="W1192" s="170"/>
      <c r="X1192" s="170"/>
      <c r="Y1192" s="173" t="e">
        <f t="shared" si="196"/>
        <v>#N/A</v>
      </c>
      <c r="AA1192" s="173" t="e">
        <f t="shared" si="192"/>
        <v>#N/A</v>
      </c>
      <c r="AH1192" s="173" t="e">
        <f t="shared" si="193"/>
        <v>#N/A</v>
      </c>
      <c r="AS1192" s="173" t="e">
        <f t="shared" si="194"/>
        <v>#N/A</v>
      </c>
    </row>
    <row r="1193" spans="1:194" s="142" customFormat="1" ht="36" customHeight="1" x14ac:dyDescent="0.9">
      <c r="A1193" s="173">
        <v>1</v>
      </c>
      <c r="B1193" s="91">
        <f>SUBTOTAL(103,$A$957:A1193)</f>
        <v>191</v>
      </c>
      <c r="C1193" s="201" t="s">
        <v>163</v>
      </c>
      <c r="D1193" s="185">
        <v>1988</v>
      </c>
      <c r="E1193" s="185"/>
      <c r="F1193" s="203" t="s">
        <v>273</v>
      </c>
      <c r="G1193" s="185">
        <v>5</v>
      </c>
      <c r="H1193" s="185">
        <v>6</v>
      </c>
      <c r="I1193" s="186">
        <v>6118.54</v>
      </c>
      <c r="J1193" s="186">
        <v>2441.1</v>
      </c>
      <c r="K1193" s="186">
        <v>202.8</v>
      </c>
      <c r="L1193" s="202">
        <v>161</v>
      </c>
      <c r="M1193" s="185" t="s">
        <v>271</v>
      </c>
      <c r="N1193" s="185" t="s">
        <v>275</v>
      </c>
      <c r="O1193" s="185" t="s">
        <v>296</v>
      </c>
      <c r="P1193" s="186">
        <v>5095413.53</v>
      </c>
      <c r="Q1193" s="186">
        <v>0</v>
      </c>
      <c r="R1193" s="186">
        <v>0</v>
      </c>
      <c r="S1193" s="186">
        <f>P1193-Q1193-R1193</f>
        <v>5095413.53</v>
      </c>
      <c r="T1193" s="189">
        <f t="shared" si="191"/>
        <v>832.78258048488692</v>
      </c>
      <c r="U1193" s="189">
        <f>Y1193</f>
        <v>1089.6622432802596</v>
      </c>
      <c r="V1193" s="170">
        <f t="shared" si="195"/>
        <v>256.87966279537272</v>
      </c>
      <c r="W1193" s="170"/>
      <c r="X1193" s="170"/>
      <c r="Y1193" s="173">
        <f t="shared" si="196"/>
        <v>1089.6622432802596</v>
      </c>
      <c r="AA1193" s="173">
        <f t="shared" si="192"/>
        <v>1276.79</v>
      </c>
      <c r="AH1193" s="173" t="e">
        <f t="shared" si="193"/>
        <v>#N/A</v>
      </c>
      <c r="AS1193" s="173" t="e">
        <f t="shared" si="194"/>
        <v>#N/A</v>
      </c>
      <c r="DT1193" s="144"/>
      <c r="DU1193" s="144"/>
      <c r="DV1193" s="144"/>
      <c r="EJ1193" s="145"/>
      <c r="ES1193" s="146"/>
      <c r="FV1193" s="147"/>
      <c r="GL1193" s="148"/>
    </row>
    <row r="1194" spans="1:194" s="142" customFormat="1" ht="36" customHeight="1" x14ac:dyDescent="0.9">
      <c r="A1194" s="173">
        <v>1</v>
      </c>
      <c r="B1194" s="91">
        <f>SUBTOTAL(103,$A$957:A1194)</f>
        <v>192</v>
      </c>
      <c r="C1194" s="201" t="s">
        <v>164</v>
      </c>
      <c r="D1194" s="185">
        <v>1985</v>
      </c>
      <c r="E1194" s="185"/>
      <c r="F1194" s="203" t="s">
        <v>273</v>
      </c>
      <c r="G1194" s="185">
        <v>5</v>
      </c>
      <c r="H1194" s="185">
        <v>4</v>
      </c>
      <c r="I1194" s="186">
        <v>4844.24</v>
      </c>
      <c r="J1194" s="186">
        <v>1720</v>
      </c>
      <c r="K1194" s="186">
        <v>192.4</v>
      </c>
      <c r="L1194" s="202">
        <v>114</v>
      </c>
      <c r="M1194" s="185" t="s">
        <v>271</v>
      </c>
      <c r="N1194" s="185" t="s">
        <v>275</v>
      </c>
      <c r="O1194" s="185" t="s">
        <v>296</v>
      </c>
      <c r="P1194" s="186">
        <v>3457309.86</v>
      </c>
      <c r="Q1194" s="186">
        <v>0</v>
      </c>
      <c r="R1194" s="186">
        <v>0</v>
      </c>
      <c r="S1194" s="186">
        <f>P1194-Q1194-R1194</f>
        <v>3457309.86</v>
      </c>
      <c r="T1194" s="189">
        <f t="shared" si="191"/>
        <v>713.69499859627103</v>
      </c>
      <c r="U1194" s="189">
        <f>Y1194</f>
        <v>933.84096906841955</v>
      </c>
      <c r="V1194" s="170">
        <f t="shared" si="195"/>
        <v>220.14597047214852</v>
      </c>
      <c r="W1194" s="170"/>
      <c r="X1194" s="170"/>
      <c r="Y1194" s="173">
        <f t="shared" si="196"/>
        <v>933.84096906841955</v>
      </c>
      <c r="AA1194" s="173">
        <f t="shared" si="192"/>
        <v>866.32</v>
      </c>
      <c r="AH1194" s="173" t="e">
        <f t="shared" si="193"/>
        <v>#N/A</v>
      </c>
      <c r="AS1194" s="173" t="e">
        <f t="shared" si="194"/>
        <v>#N/A</v>
      </c>
      <c r="DT1194" s="144"/>
      <c r="DU1194" s="144"/>
      <c r="DV1194" s="144"/>
      <c r="EJ1194" s="145"/>
      <c r="ES1194" s="146"/>
      <c r="FV1194" s="147"/>
      <c r="GL1194" s="148"/>
    </row>
    <row r="1195" spans="1:194" s="142" customFormat="1" ht="36" customHeight="1" x14ac:dyDescent="0.9">
      <c r="A1195" s="173">
        <v>1</v>
      </c>
      <c r="B1195" s="91">
        <f>SUBTOTAL(103,$A$957:A1195)</f>
        <v>193</v>
      </c>
      <c r="C1195" s="201" t="s">
        <v>165</v>
      </c>
      <c r="D1195" s="185">
        <v>1979</v>
      </c>
      <c r="E1195" s="185"/>
      <c r="F1195" s="203" t="s">
        <v>273</v>
      </c>
      <c r="G1195" s="185">
        <v>3</v>
      </c>
      <c r="H1195" s="185">
        <v>3</v>
      </c>
      <c r="I1195" s="186">
        <v>2679.4</v>
      </c>
      <c r="J1195" s="186">
        <v>765.1</v>
      </c>
      <c r="K1195" s="186">
        <v>109.1</v>
      </c>
      <c r="L1195" s="202">
        <v>52</v>
      </c>
      <c r="M1195" s="185" t="s">
        <v>271</v>
      </c>
      <c r="N1195" s="185" t="s">
        <v>275</v>
      </c>
      <c r="O1195" s="185" t="s">
        <v>300</v>
      </c>
      <c r="P1195" s="186">
        <v>3906950.76</v>
      </c>
      <c r="Q1195" s="186">
        <v>0</v>
      </c>
      <c r="R1195" s="186">
        <v>0</v>
      </c>
      <c r="S1195" s="186">
        <f>P1195-Q1195-R1195</f>
        <v>3906950.76</v>
      </c>
      <c r="T1195" s="189">
        <f t="shared" si="191"/>
        <v>1458.1438978875867</v>
      </c>
      <c r="U1195" s="189">
        <f>Y1195</f>
        <v>1458.1438978875867</v>
      </c>
      <c r="V1195" s="170">
        <f t="shared" si="195"/>
        <v>0</v>
      </c>
      <c r="W1195" s="170"/>
      <c r="X1195" s="170"/>
      <c r="Y1195" s="173">
        <f t="shared" si="196"/>
        <v>1458.1438978875867</v>
      </c>
      <c r="AA1195" s="173">
        <f t="shared" si="192"/>
        <v>748.2</v>
      </c>
      <c r="AH1195" s="173" t="e">
        <f t="shared" si="193"/>
        <v>#N/A</v>
      </c>
      <c r="AS1195" s="173" t="e">
        <f t="shared" si="194"/>
        <v>#N/A</v>
      </c>
      <c r="DT1195" s="144"/>
      <c r="DU1195" s="144"/>
      <c r="DV1195" s="144"/>
      <c r="EJ1195" s="145"/>
      <c r="ES1195" s="146"/>
      <c r="FV1195" s="147"/>
      <c r="GL1195" s="148"/>
    </row>
    <row r="1196" spans="1:194" s="173" customFormat="1" ht="36" customHeight="1" x14ac:dyDescent="0.9">
      <c r="B1196" s="90" t="s">
        <v>878</v>
      </c>
      <c r="C1196" s="90"/>
      <c r="D1196" s="185" t="s">
        <v>915</v>
      </c>
      <c r="E1196" s="185" t="s">
        <v>915</v>
      </c>
      <c r="F1196" s="185" t="s">
        <v>915</v>
      </c>
      <c r="G1196" s="185" t="s">
        <v>915</v>
      </c>
      <c r="H1196" s="185" t="s">
        <v>915</v>
      </c>
      <c r="I1196" s="186">
        <f>SUM(I1197:I1200)</f>
        <v>13394.029999999999</v>
      </c>
      <c r="J1196" s="186">
        <f t="shared" ref="J1196:L1196" si="197">SUM(J1197:J1200)</f>
        <v>8357</v>
      </c>
      <c r="K1196" s="186">
        <f t="shared" si="197"/>
        <v>7860.34</v>
      </c>
      <c r="L1196" s="187">
        <f t="shared" si="197"/>
        <v>618</v>
      </c>
      <c r="M1196" s="185" t="s">
        <v>915</v>
      </c>
      <c r="N1196" s="185" t="s">
        <v>915</v>
      </c>
      <c r="O1196" s="188" t="s">
        <v>915</v>
      </c>
      <c r="P1196" s="189">
        <v>12269019.870000001</v>
      </c>
      <c r="Q1196" s="189">
        <f t="shared" ref="Q1196:S1196" si="198">SUM(Q1197:Q1200)</f>
        <v>0</v>
      </c>
      <c r="R1196" s="189">
        <f t="shared" si="198"/>
        <v>0</v>
      </c>
      <c r="S1196" s="189">
        <f t="shared" si="198"/>
        <v>12269019.870000001</v>
      </c>
      <c r="T1196" s="189">
        <f t="shared" si="191"/>
        <v>916.00659920875216</v>
      </c>
      <c r="U1196" s="189">
        <f>MAX(U1197:U1200)</f>
        <v>2580.7794020938936</v>
      </c>
      <c r="V1196" s="170">
        <f t="shared" si="195"/>
        <v>1664.7728028851416</v>
      </c>
      <c r="W1196" s="170"/>
      <c r="X1196" s="170"/>
      <c r="Y1196" s="173" t="e">
        <f t="shared" si="196"/>
        <v>#N/A</v>
      </c>
      <c r="AA1196" s="173" t="e">
        <f t="shared" si="192"/>
        <v>#N/A</v>
      </c>
      <c r="AH1196" s="173" t="e">
        <f t="shared" si="193"/>
        <v>#N/A</v>
      </c>
      <c r="AS1196" s="173" t="e">
        <f t="shared" si="194"/>
        <v>#N/A</v>
      </c>
    </row>
    <row r="1197" spans="1:194" s="142" customFormat="1" ht="36" customHeight="1" x14ac:dyDescent="0.9">
      <c r="A1197" s="173">
        <v>1</v>
      </c>
      <c r="B1197" s="91">
        <f>SUBTOTAL(103,$A$957:A1197)</f>
        <v>194</v>
      </c>
      <c r="C1197" s="201" t="s">
        <v>158</v>
      </c>
      <c r="D1197" s="185">
        <v>1971</v>
      </c>
      <c r="E1197" s="185"/>
      <c r="F1197" s="203" t="s">
        <v>273</v>
      </c>
      <c r="G1197" s="185">
        <v>5</v>
      </c>
      <c r="H1197" s="185">
        <v>4</v>
      </c>
      <c r="I1197" s="186">
        <v>3186.9</v>
      </c>
      <c r="J1197" s="186">
        <v>1676</v>
      </c>
      <c r="K1197" s="186">
        <v>1676</v>
      </c>
      <c r="L1197" s="202">
        <v>169</v>
      </c>
      <c r="M1197" s="185" t="s">
        <v>271</v>
      </c>
      <c r="N1197" s="185" t="s">
        <v>305</v>
      </c>
      <c r="O1197" s="185" t="s">
        <v>306</v>
      </c>
      <c r="P1197" s="186">
        <v>2147269.5</v>
      </c>
      <c r="Q1197" s="186">
        <v>0</v>
      </c>
      <c r="R1197" s="186">
        <v>0</v>
      </c>
      <c r="S1197" s="186">
        <f>P1197-Q1197-R1197</f>
        <v>2147269.5</v>
      </c>
      <c r="T1197" s="189">
        <f t="shared" si="191"/>
        <v>673.78000564812203</v>
      </c>
      <c r="U1197" s="189">
        <v>673.78</v>
      </c>
      <c r="V1197" s="170">
        <f t="shared" si="195"/>
        <v>-5.6481220553905587E-6</v>
      </c>
      <c r="W1197" s="170"/>
      <c r="X1197" s="170"/>
      <c r="Y1197" s="173" t="e">
        <f t="shared" si="196"/>
        <v>#N/A</v>
      </c>
      <c r="AA1197" s="173" t="e">
        <f t="shared" si="192"/>
        <v>#N/A</v>
      </c>
      <c r="AH1197" s="173" t="e">
        <f t="shared" si="193"/>
        <v>#N/A</v>
      </c>
      <c r="AS1197" s="173" t="e">
        <f t="shared" si="194"/>
        <v>#N/A</v>
      </c>
      <c r="DT1197" s="144"/>
      <c r="DU1197" s="144"/>
      <c r="DV1197" s="144"/>
      <c r="EJ1197" s="145"/>
      <c r="ES1197" s="146"/>
      <c r="FV1197" s="147"/>
      <c r="GL1197" s="148"/>
    </row>
    <row r="1198" spans="1:194" s="142" customFormat="1" ht="36" customHeight="1" x14ac:dyDescent="0.9">
      <c r="A1198" s="173">
        <v>1</v>
      </c>
      <c r="B1198" s="91">
        <f>SUBTOTAL(103,$A$957:A1198)</f>
        <v>195</v>
      </c>
      <c r="C1198" s="201" t="s">
        <v>159</v>
      </c>
      <c r="D1198" s="185">
        <v>1971</v>
      </c>
      <c r="E1198" s="185"/>
      <c r="F1198" s="203" t="s">
        <v>273</v>
      </c>
      <c r="G1198" s="185">
        <v>5</v>
      </c>
      <c r="H1198" s="185">
        <v>3</v>
      </c>
      <c r="I1198" s="186">
        <v>3186.9</v>
      </c>
      <c r="J1198" s="186">
        <v>1676</v>
      </c>
      <c r="K1198" s="186">
        <v>1676</v>
      </c>
      <c r="L1198" s="202">
        <v>175</v>
      </c>
      <c r="M1198" s="185" t="s">
        <v>271</v>
      </c>
      <c r="N1198" s="185" t="s">
        <v>305</v>
      </c>
      <c r="O1198" s="185" t="s">
        <v>307</v>
      </c>
      <c r="P1198" s="186">
        <v>491428.7</v>
      </c>
      <c r="Q1198" s="186">
        <v>0</v>
      </c>
      <c r="R1198" s="186">
        <v>0</v>
      </c>
      <c r="S1198" s="186">
        <f>P1198-Q1198-R1198</f>
        <v>491428.7</v>
      </c>
      <c r="T1198" s="189">
        <f t="shared" si="191"/>
        <v>154.20273620132417</v>
      </c>
      <c r="U1198" s="189">
        <v>392.66207286077378</v>
      </c>
      <c r="V1198" s="170">
        <f t="shared" si="195"/>
        <v>238.4593366594496</v>
      </c>
      <c r="W1198" s="170"/>
      <c r="X1198" s="170"/>
      <c r="Y1198" s="173" t="e">
        <f t="shared" si="196"/>
        <v>#N/A</v>
      </c>
      <c r="AA1198" s="173" t="e">
        <f t="shared" si="192"/>
        <v>#N/A</v>
      </c>
      <c r="AH1198" s="173" t="e">
        <f t="shared" si="193"/>
        <v>#N/A</v>
      </c>
      <c r="AS1198" s="173" t="e">
        <f t="shared" si="194"/>
        <v>#N/A</v>
      </c>
      <c r="DT1198" s="144"/>
      <c r="DU1198" s="144"/>
      <c r="DV1198" s="144"/>
      <c r="EJ1198" s="145"/>
      <c r="ES1198" s="146"/>
      <c r="FV1198" s="147"/>
      <c r="GL1198" s="148"/>
    </row>
    <row r="1199" spans="1:194" s="173" customFormat="1" ht="36" customHeight="1" x14ac:dyDescent="0.9">
      <c r="A1199" s="173">
        <v>1</v>
      </c>
      <c r="B1199" s="91">
        <f>SUBTOTAL(103,$A$957:A1199)</f>
        <v>196</v>
      </c>
      <c r="C1199" s="90" t="s">
        <v>150</v>
      </c>
      <c r="D1199" s="185">
        <v>1928</v>
      </c>
      <c r="E1199" s="185"/>
      <c r="F1199" s="191" t="s">
        <v>273</v>
      </c>
      <c r="G1199" s="185">
        <v>3</v>
      </c>
      <c r="H1199" s="185">
        <v>4</v>
      </c>
      <c r="I1199" s="186">
        <v>1718.33</v>
      </c>
      <c r="J1199" s="186">
        <v>1375</v>
      </c>
      <c r="K1199" s="186">
        <v>1224.44</v>
      </c>
      <c r="L1199" s="187">
        <v>85</v>
      </c>
      <c r="M1199" s="185" t="s">
        <v>271</v>
      </c>
      <c r="N1199" s="185" t="s">
        <v>275</v>
      </c>
      <c r="O1199" s="188" t="s">
        <v>302</v>
      </c>
      <c r="P1199" s="189">
        <v>4434630.67</v>
      </c>
      <c r="Q1199" s="189">
        <v>0</v>
      </c>
      <c r="R1199" s="189">
        <v>0</v>
      </c>
      <c r="S1199" s="189">
        <f>P1199-Q1199-R1199</f>
        <v>4434630.67</v>
      </c>
      <c r="T1199" s="189">
        <f t="shared" si="191"/>
        <v>2580.7794020938936</v>
      </c>
      <c r="U1199" s="189">
        <v>2580.7794020938936</v>
      </c>
      <c r="V1199" s="170">
        <f t="shared" si="195"/>
        <v>0</v>
      </c>
      <c r="W1199" s="170"/>
      <c r="X1199" s="170"/>
      <c r="Y1199" s="173" t="e">
        <f t="shared" si="196"/>
        <v>#N/A</v>
      </c>
      <c r="AA1199" s="173" t="e">
        <f t="shared" si="192"/>
        <v>#N/A</v>
      </c>
      <c r="AH1199" s="173" t="e">
        <f t="shared" si="193"/>
        <v>#N/A</v>
      </c>
      <c r="AS1199" s="173" t="e">
        <f t="shared" si="194"/>
        <v>#N/A</v>
      </c>
    </row>
    <row r="1200" spans="1:194" s="142" customFormat="1" ht="36" customHeight="1" x14ac:dyDescent="0.9">
      <c r="A1200" s="173">
        <v>1</v>
      </c>
      <c r="B1200" s="91">
        <f>SUBTOTAL(103,$A$957:A1200)</f>
        <v>197</v>
      </c>
      <c r="C1200" s="201" t="s">
        <v>139</v>
      </c>
      <c r="D1200" s="185">
        <v>1990</v>
      </c>
      <c r="E1200" s="185"/>
      <c r="F1200" s="203" t="s">
        <v>273</v>
      </c>
      <c r="G1200" s="185">
        <v>5</v>
      </c>
      <c r="H1200" s="185">
        <v>5</v>
      </c>
      <c r="I1200" s="186">
        <v>5301.9</v>
      </c>
      <c r="J1200" s="186">
        <v>3630</v>
      </c>
      <c r="K1200" s="186">
        <v>3283.9</v>
      </c>
      <c r="L1200" s="202">
        <v>189</v>
      </c>
      <c r="M1200" s="185" t="s">
        <v>271</v>
      </c>
      <c r="N1200" s="185" t="s">
        <v>275</v>
      </c>
      <c r="O1200" s="185" t="s">
        <v>300</v>
      </c>
      <c r="P1200" s="186">
        <v>5195691</v>
      </c>
      <c r="Q1200" s="186">
        <v>0</v>
      </c>
      <c r="R1200" s="186">
        <v>0</v>
      </c>
      <c r="S1200" s="186">
        <f>P1200-Q1200-R1200</f>
        <v>5195691</v>
      </c>
      <c r="T1200" s="189">
        <f t="shared" si="191"/>
        <v>979.96774741130548</v>
      </c>
      <c r="U1200" s="189">
        <f>Y1200</f>
        <v>979.96774741130548</v>
      </c>
      <c r="V1200" s="170">
        <f t="shared" si="195"/>
        <v>0</v>
      </c>
      <c r="W1200" s="170"/>
      <c r="X1200" s="170"/>
      <c r="Y1200" s="173">
        <f t="shared" si="196"/>
        <v>979.96774741130548</v>
      </c>
      <c r="AA1200" s="173">
        <f t="shared" si="192"/>
        <v>995</v>
      </c>
      <c r="AH1200" s="173" t="e">
        <f t="shared" si="193"/>
        <v>#N/A</v>
      </c>
      <c r="AS1200" s="173" t="e">
        <f t="shared" si="194"/>
        <v>#N/A</v>
      </c>
      <c r="DT1200" s="144"/>
      <c r="DU1200" s="144"/>
      <c r="DV1200" s="144"/>
      <c r="EJ1200" s="145"/>
      <c r="ES1200" s="146"/>
      <c r="FV1200" s="147"/>
      <c r="GL1200" s="148"/>
    </row>
    <row r="1201" spans="1:194" s="173" customFormat="1" ht="36" customHeight="1" x14ac:dyDescent="0.9">
      <c r="B1201" s="90" t="s">
        <v>879</v>
      </c>
      <c r="C1201" s="192"/>
      <c r="D1201" s="185" t="s">
        <v>915</v>
      </c>
      <c r="E1201" s="185" t="s">
        <v>915</v>
      </c>
      <c r="F1201" s="185" t="s">
        <v>915</v>
      </c>
      <c r="G1201" s="185" t="s">
        <v>915</v>
      </c>
      <c r="H1201" s="185" t="s">
        <v>915</v>
      </c>
      <c r="I1201" s="186">
        <f>SUM(I1202:I1203)</f>
        <v>5101.2</v>
      </c>
      <c r="J1201" s="186">
        <f>SUM(J1202:J1203)</f>
        <v>4560.8999999999996</v>
      </c>
      <c r="K1201" s="186">
        <f>SUM(K1202:K1203)</f>
        <v>3873.8</v>
      </c>
      <c r="L1201" s="187">
        <f>SUM(L1202:L1203)</f>
        <v>164</v>
      </c>
      <c r="M1201" s="185" t="s">
        <v>915</v>
      </c>
      <c r="N1201" s="185" t="s">
        <v>915</v>
      </c>
      <c r="O1201" s="188" t="s">
        <v>915</v>
      </c>
      <c r="P1201" s="189">
        <v>9221698.8000000007</v>
      </c>
      <c r="Q1201" s="189">
        <f>Q1202+Q1203</f>
        <v>0</v>
      </c>
      <c r="R1201" s="189">
        <f>R1202+R1203</f>
        <v>0</v>
      </c>
      <c r="S1201" s="189">
        <f>S1202+S1203</f>
        <v>9221698.8000000007</v>
      </c>
      <c r="T1201" s="189">
        <f t="shared" si="191"/>
        <v>1807.7508821453778</v>
      </c>
      <c r="U1201" s="189">
        <f>MAX(U1202:U1203)</f>
        <v>2528.257580342553</v>
      </c>
      <c r="V1201" s="170">
        <f t="shared" si="195"/>
        <v>720.50669819717518</v>
      </c>
      <c r="W1201" s="170"/>
      <c r="X1201" s="170"/>
      <c r="Y1201" s="173" t="e">
        <f t="shared" si="196"/>
        <v>#N/A</v>
      </c>
      <c r="AA1201" s="173" t="e">
        <f t="shared" si="192"/>
        <v>#N/A</v>
      </c>
      <c r="AH1201" s="173" t="e">
        <f t="shared" si="193"/>
        <v>#N/A</v>
      </c>
      <c r="AS1201" s="173" t="e">
        <f t="shared" si="194"/>
        <v>#N/A</v>
      </c>
    </row>
    <row r="1202" spans="1:194" s="142" customFormat="1" ht="36" customHeight="1" x14ac:dyDescent="0.9">
      <c r="A1202" s="173">
        <v>1</v>
      </c>
      <c r="B1202" s="91">
        <f>SUBTOTAL(103,$A$957:A1202)</f>
        <v>198</v>
      </c>
      <c r="C1202" s="201" t="s">
        <v>101</v>
      </c>
      <c r="D1202" s="185">
        <v>1985</v>
      </c>
      <c r="E1202" s="185"/>
      <c r="F1202" s="203" t="s">
        <v>273</v>
      </c>
      <c r="G1202" s="185">
        <v>3</v>
      </c>
      <c r="H1202" s="185">
        <v>3</v>
      </c>
      <c r="I1202" s="186">
        <v>1652.3</v>
      </c>
      <c r="J1202" s="186">
        <v>1350.8</v>
      </c>
      <c r="K1202" s="186">
        <v>1350.8</v>
      </c>
      <c r="L1202" s="202">
        <v>61</v>
      </c>
      <c r="M1202" s="185" t="s">
        <v>271</v>
      </c>
      <c r="N1202" s="185" t="s">
        <v>275</v>
      </c>
      <c r="O1202" s="185" t="s">
        <v>288</v>
      </c>
      <c r="P1202" s="186">
        <v>4177440</v>
      </c>
      <c r="Q1202" s="186">
        <v>0</v>
      </c>
      <c r="R1202" s="186">
        <v>0</v>
      </c>
      <c r="S1202" s="186">
        <f>P1202-Q1202-R1202</f>
        <v>4177440</v>
      </c>
      <c r="T1202" s="189">
        <f t="shared" si="191"/>
        <v>2528.257580342553</v>
      </c>
      <c r="U1202" s="189">
        <f>Y1202</f>
        <v>2528.257580342553</v>
      </c>
      <c r="V1202" s="170">
        <f t="shared" si="195"/>
        <v>0</v>
      </c>
      <c r="W1202" s="170"/>
      <c r="X1202" s="170"/>
      <c r="Y1202" s="173">
        <f t="shared" si="196"/>
        <v>2528.257580342553</v>
      </c>
      <c r="AA1202" s="173">
        <f t="shared" si="192"/>
        <v>800</v>
      </c>
      <c r="AH1202" s="173" t="e">
        <f t="shared" si="193"/>
        <v>#N/A</v>
      </c>
      <c r="AS1202" s="173" t="e">
        <f t="shared" si="194"/>
        <v>#N/A</v>
      </c>
      <c r="DT1202" s="144"/>
      <c r="DU1202" s="144"/>
      <c r="DV1202" s="144"/>
      <c r="EJ1202" s="145"/>
      <c r="ES1202" s="146"/>
      <c r="FV1202" s="147"/>
      <c r="GL1202" s="148"/>
    </row>
    <row r="1203" spans="1:194" s="142" customFormat="1" ht="36" customHeight="1" x14ac:dyDescent="0.9">
      <c r="A1203" s="173">
        <v>1</v>
      </c>
      <c r="B1203" s="91">
        <f>SUBTOTAL(103,$A$957:A1203)</f>
        <v>199</v>
      </c>
      <c r="C1203" s="201" t="s">
        <v>102</v>
      </c>
      <c r="D1203" s="185">
        <v>1972</v>
      </c>
      <c r="E1203" s="185"/>
      <c r="F1203" s="203" t="s">
        <v>273</v>
      </c>
      <c r="G1203" s="185">
        <v>5</v>
      </c>
      <c r="H1203" s="185">
        <v>4</v>
      </c>
      <c r="I1203" s="186">
        <v>3448.9</v>
      </c>
      <c r="J1203" s="186">
        <v>3210.1</v>
      </c>
      <c r="K1203" s="186">
        <v>2523</v>
      </c>
      <c r="L1203" s="202">
        <v>103</v>
      </c>
      <c r="M1203" s="185" t="s">
        <v>271</v>
      </c>
      <c r="N1203" s="185" t="s">
        <v>275</v>
      </c>
      <c r="O1203" s="185" t="s">
        <v>286</v>
      </c>
      <c r="P1203" s="186">
        <v>5044258.8</v>
      </c>
      <c r="Q1203" s="186">
        <v>0</v>
      </c>
      <c r="R1203" s="186">
        <v>0</v>
      </c>
      <c r="S1203" s="186">
        <f>P1203-Q1203-R1203</f>
        <v>5044258.8</v>
      </c>
      <c r="T1203" s="189">
        <f t="shared" si="191"/>
        <v>1462.5703267708543</v>
      </c>
      <c r="U1203" s="189">
        <f>Y1203</f>
        <v>1462.5703267708543</v>
      </c>
      <c r="V1203" s="170">
        <f t="shared" si="195"/>
        <v>0</v>
      </c>
      <c r="W1203" s="170"/>
      <c r="X1203" s="170"/>
      <c r="Y1203" s="173">
        <f t="shared" si="196"/>
        <v>1462.5703267708543</v>
      </c>
      <c r="AA1203" s="173">
        <f t="shared" si="192"/>
        <v>966</v>
      </c>
      <c r="AH1203" s="173" t="e">
        <f t="shared" si="193"/>
        <v>#N/A</v>
      </c>
      <c r="AS1203" s="173" t="e">
        <f t="shared" si="194"/>
        <v>#N/A</v>
      </c>
      <c r="DT1203" s="144"/>
      <c r="DU1203" s="144"/>
      <c r="DV1203" s="144"/>
      <c r="EJ1203" s="145"/>
      <c r="ES1203" s="146"/>
      <c r="FV1203" s="147"/>
      <c r="GL1203" s="148"/>
    </row>
    <row r="1204" spans="1:194" s="173" customFormat="1" ht="36" customHeight="1" x14ac:dyDescent="0.9">
      <c r="B1204" s="90" t="s">
        <v>906</v>
      </c>
      <c r="C1204" s="90"/>
      <c r="D1204" s="185" t="s">
        <v>915</v>
      </c>
      <c r="E1204" s="185" t="s">
        <v>915</v>
      </c>
      <c r="F1204" s="185" t="s">
        <v>915</v>
      </c>
      <c r="G1204" s="185" t="s">
        <v>915</v>
      </c>
      <c r="H1204" s="185" t="s">
        <v>915</v>
      </c>
      <c r="I1204" s="186">
        <f>I1205</f>
        <v>783.81</v>
      </c>
      <c r="J1204" s="186">
        <f>J1205</f>
        <v>668.19</v>
      </c>
      <c r="K1204" s="186">
        <f>K1205</f>
        <v>668.19</v>
      </c>
      <c r="L1204" s="187">
        <f>L1205</f>
        <v>28</v>
      </c>
      <c r="M1204" s="185" t="s">
        <v>915</v>
      </c>
      <c r="N1204" s="185" t="s">
        <v>915</v>
      </c>
      <c r="O1204" s="188" t="s">
        <v>915</v>
      </c>
      <c r="P1204" s="189">
        <v>3623929.1999999997</v>
      </c>
      <c r="Q1204" s="189">
        <f>Q1205</f>
        <v>0</v>
      </c>
      <c r="R1204" s="189">
        <f>R1205</f>
        <v>0</v>
      </c>
      <c r="S1204" s="189">
        <f>S1205</f>
        <v>3623929.1999999997</v>
      </c>
      <c r="T1204" s="189">
        <f t="shared" si="191"/>
        <v>4623.4791594901826</v>
      </c>
      <c r="U1204" s="189">
        <f>U1205</f>
        <v>4623.4791594901835</v>
      </c>
      <c r="V1204" s="170">
        <f t="shared" si="195"/>
        <v>0</v>
      </c>
      <c r="W1204" s="170"/>
      <c r="X1204" s="170"/>
      <c r="Y1204" s="173" t="e">
        <f t="shared" si="196"/>
        <v>#N/A</v>
      </c>
      <c r="AA1204" s="173" t="e">
        <f t="shared" si="192"/>
        <v>#N/A</v>
      </c>
      <c r="AH1204" s="173" t="e">
        <f t="shared" si="193"/>
        <v>#N/A</v>
      </c>
      <c r="AS1204" s="173" t="e">
        <f t="shared" si="194"/>
        <v>#N/A</v>
      </c>
    </row>
    <row r="1205" spans="1:194" s="142" customFormat="1" ht="36" customHeight="1" x14ac:dyDescent="0.9">
      <c r="A1205" s="173">
        <v>1</v>
      </c>
      <c r="B1205" s="91">
        <f>SUBTOTAL(103,$A$957:A1205)</f>
        <v>200</v>
      </c>
      <c r="C1205" s="201" t="s">
        <v>106</v>
      </c>
      <c r="D1205" s="185">
        <v>1968</v>
      </c>
      <c r="E1205" s="185"/>
      <c r="F1205" s="203" t="s">
        <v>273</v>
      </c>
      <c r="G1205" s="185">
        <v>2</v>
      </c>
      <c r="H1205" s="185">
        <v>2</v>
      </c>
      <c r="I1205" s="186">
        <v>783.81</v>
      </c>
      <c r="J1205" s="186">
        <v>668.19</v>
      </c>
      <c r="K1205" s="186">
        <v>668.19</v>
      </c>
      <c r="L1205" s="202">
        <v>28</v>
      </c>
      <c r="M1205" s="185" t="s">
        <v>271</v>
      </c>
      <c r="N1205" s="185" t="s">
        <v>275</v>
      </c>
      <c r="O1205" s="185" t="s">
        <v>288</v>
      </c>
      <c r="P1205" s="186">
        <v>3623929.1999999997</v>
      </c>
      <c r="Q1205" s="186">
        <v>0</v>
      </c>
      <c r="R1205" s="186">
        <v>0</v>
      </c>
      <c r="S1205" s="186">
        <f>P1205-Q1205-R1205</f>
        <v>3623929.1999999997</v>
      </c>
      <c r="T1205" s="189">
        <f t="shared" si="191"/>
        <v>4623.4791594901826</v>
      </c>
      <c r="U1205" s="189">
        <f>Y1205</f>
        <v>4623.4791594901835</v>
      </c>
      <c r="V1205" s="170">
        <f t="shared" si="195"/>
        <v>0</v>
      </c>
      <c r="W1205" s="170"/>
      <c r="X1205" s="170"/>
      <c r="Y1205" s="173">
        <f t="shared" si="196"/>
        <v>4623.4791594901835</v>
      </c>
      <c r="AA1205" s="173">
        <f t="shared" si="192"/>
        <v>694</v>
      </c>
      <c r="AH1205" s="173" t="e">
        <f t="shared" si="193"/>
        <v>#N/A</v>
      </c>
      <c r="AS1205" s="173" t="e">
        <f t="shared" si="194"/>
        <v>#N/A</v>
      </c>
      <c r="DT1205" s="144"/>
      <c r="DU1205" s="144"/>
      <c r="DV1205" s="144"/>
      <c r="EJ1205" s="145"/>
      <c r="ES1205" s="146"/>
      <c r="FV1205" s="147"/>
      <c r="GL1205" s="148"/>
    </row>
    <row r="1206" spans="1:194" s="173" customFormat="1" ht="36" customHeight="1" x14ac:dyDescent="0.9">
      <c r="B1206" s="90" t="s">
        <v>880</v>
      </c>
      <c r="C1206" s="90"/>
      <c r="D1206" s="185" t="s">
        <v>915</v>
      </c>
      <c r="E1206" s="185" t="s">
        <v>915</v>
      </c>
      <c r="F1206" s="185" t="s">
        <v>915</v>
      </c>
      <c r="G1206" s="185" t="s">
        <v>915</v>
      </c>
      <c r="H1206" s="185" t="s">
        <v>915</v>
      </c>
      <c r="I1206" s="186">
        <f>I1207</f>
        <v>680.2</v>
      </c>
      <c r="J1206" s="186">
        <f>J1207</f>
        <v>617.70000000000005</v>
      </c>
      <c r="K1206" s="186">
        <f>K1207</f>
        <v>617.70000000000005</v>
      </c>
      <c r="L1206" s="187">
        <f>L1207</f>
        <v>32</v>
      </c>
      <c r="M1206" s="185" t="s">
        <v>915</v>
      </c>
      <c r="N1206" s="185" t="s">
        <v>915</v>
      </c>
      <c r="O1206" s="188" t="s">
        <v>915</v>
      </c>
      <c r="P1206" s="189">
        <v>3080862</v>
      </c>
      <c r="Q1206" s="189">
        <f>Q1207</f>
        <v>0</v>
      </c>
      <c r="R1206" s="189">
        <f>R1207</f>
        <v>0</v>
      </c>
      <c r="S1206" s="189">
        <f>S1207</f>
        <v>3080862</v>
      </c>
      <c r="T1206" s="189">
        <f t="shared" si="191"/>
        <v>4529.3472508085852</v>
      </c>
      <c r="U1206" s="189">
        <f>U1207</f>
        <v>4529.3472508085852</v>
      </c>
      <c r="V1206" s="170">
        <f t="shared" si="195"/>
        <v>0</v>
      </c>
      <c r="W1206" s="170"/>
      <c r="X1206" s="170"/>
      <c r="Y1206" s="173" t="e">
        <f t="shared" si="196"/>
        <v>#N/A</v>
      </c>
      <c r="AA1206" s="173" t="e">
        <f t="shared" si="192"/>
        <v>#N/A</v>
      </c>
      <c r="AH1206" s="173" t="e">
        <f t="shared" si="193"/>
        <v>#N/A</v>
      </c>
      <c r="AS1206" s="173" t="e">
        <f t="shared" si="194"/>
        <v>#N/A</v>
      </c>
    </row>
    <row r="1207" spans="1:194" s="142" customFormat="1" ht="36" customHeight="1" x14ac:dyDescent="0.9">
      <c r="A1207" s="173">
        <v>1</v>
      </c>
      <c r="B1207" s="91">
        <f>SUBTOTAL(103,$A$957:A1207)</f>
        <v>201</v>
      </c>
      <c r="C1207" s="201" t="s">
        <v>103</v>
      </c>
      <c r="D1207" s="185">
        <v>1961</v>
      </c>
      <c r="E1207" s="185"/>
      <c r="F1207" s="203" t="s">
        <v>273</v>
      </c>
      <c r="G1207" s="185">
        <v>2</v>
      </c>
      <c r="H1207" s="185">
        <v>2</v>
      </c>
      <c r="I1207" s="186">
        <v>680.2</v>
      </c>
      <c r="J1207" s="186">
        <v>617.70000000000005</v>
      </c>
      <c r="K1207" s="186">
        <v>617.70000000000005</v>
      </c>
      <c r="L1207" s="202">
        <v>32</v>
      </c>
      <c r="M1207" s="185" t="s">
        <v>271</v>
      </c>
      <c r="N1207" s="185" t="s">
        <v>275</v>
      </c>
      <c r="O1207" s="185" t="s">
        <v>1020</v>
      </c>
      <c r="P1207" s="186">
        <v>3080862</v>
      </c>
      <c r="Q1207" s="186">
        <v>0</v>
      </c>
      <c r="R1207" s="186">
        <v>0</v>
      </c>
      <c r="S1207" s="186">
        <f>P1207-Q1207-R1207</f>
        <v>3080862</v>
      </c>
      <c r="T1207" s="189">
        <f t="shared" si="191"/>
        <v>4529.3472508085852</v>
      </c>
      <c r="U1207" s="189">
        <f>Y1207</f>
        <v>4529.3472508085852</v>
      </c>
      <c r="V1207" s="170">
        <f t="shared" si="195"/>
        <v>0</v>
      </c>
      <c r="W1207" s="170"/>
      <c r="X1207" s="170"/>
      <c r="Y1207" s="173">
        <f t="shared" si="196"/>
        <v>4529.3472508085852</v>
      </c>
      <c r="AA1207" s="173">
        <f t="shared" si="192"/>
        <v>590</v>
      </c>
      <c r="AH1207" s="173" t="e">
        <f t="shared" si="193"/>
        <v>#N/A</v>
      </c>
      <c r="AS1207" s="173" t="e">
        <f t="shared" si="194"/>
        <v>#N/A</v>
      </c>
      <c r="DT1207" s="144"/>
      <c r="DU1207" s="144"/>
      <c r="DV1207" s="144"/>
      <c r="EJ1207" s="145"/>
      <c r="ES1207" s="146"/>
      <c r="FV1207" s="147"/>
      <c r="GL1207" s="148"/>
    </row>
    <row r="1208" spans="1:194" s="173" customFormat="1" ht="36" customHeight="1" x14ac:dyDescent="0.9">
      <c r="B1208" s="90" t="s">
        <v>881</v>
      </c>
      <c r="C1208" s="90"/>
      <c r="D1208" s="185" t="s">
        <v>915</v>
      </c>
      <c r="E1208" s="185" t="s">
        <v>915</v>
      </c>
      <c r="F1208" s="185" t="s">
        <v>915</v>
      </c>
      <c r="G1208" s="185" t="s">
        <v>915</v>
      </c>
      <c r="H1208" s="185" t="s">
        <v>915</v>
      </c>
      <c r="I1208" s="186">
        <f>SUM(I1209:I1210)</f>
        <v>646.4</v>
      </c>
      <c r="J1208" s="186">
        <f>SUM(J1209:J1210)</f>
        <v>546.1</v>
      </c>
      <c r="K1208" s="186">
        <f>SUM(K1209:K1210)</f>
        <v>546.1</v>
      </c>
      <c r="L1208" s="187">
        <f>SUM(L1209:L1210)</f>
        <v>28</v>
      </c>
      <c r="M1208" s="185" t="s">
        <v>915</v>
      </c>
      <c r="N1208" s="185" t="s">
        <v>915</v>
      </c>
      <c r="O1208" s="188" t="s">
        <v>915</v>
      </c>
      <c r="P1208" s="189">
        <v>2610892.59</v>
      </c>
      <c r="Q1208" s="189">
        <f>Q1209+Q1210</f>
        <v>0</v>
      </c>
      <c r="R1208" s="189">
        <f>R1209+R1210</f>
        <v>0</v>
      </c>
      <c r="S1208" s="189">
        <f>S1209+S1210</f>
        <v>2610892.59</v>
      </c>
      <c r="T1208" s="189">
        <f t="shared" si="191"/>
        <v>4039.1283879950493</v>
      </c>
      <c r="U1208" s="189">
        <f>MAX(U1209:U1210)</f>
        <v>4244.1085883514324</v>
      </c>
      <c r="V1208" s="170">
        <f t="shared" si="195"/>
        <v>204.98020035638319</v>
      </c>
      <c r="W1208" s="170"/>
      <c r="X1208" s="170"/>
      <c r="Y1208" s="173" t="e">
        <f t="shared" si="196"/>
        <v>#N/A</v>
      </c>
      <c r="AA1208" s="173" t="e">
        <f t="shared" si="192"/>
        <v>#N/A</v>
      </c>
      <c r="AH1208" s="173" t="e">
        <f t="shared" si="193"/>
        <v>#N/A</v>
      </c>
      <c r="AS1208" s="173" t="e">
        <f t="shared" si="194"/>
        <v>#N/A</v>
      </c>
    </row>
    <row r="1209" spans="1:194" s="142" customFormat="1" ht="36" customHeight="1" x14ac:dyDescent="0.9">
      <c r="A1209" s="173">
        <v>1</v>
      </c>
      <c r="B1209" s="91">
        <f>SUBTOTAL(103,$A$957:A1209)</f>
        <v>202</v>
      </c>
      <c r="C1209" s="201" t="s">
        <v>104</v>
      </c>
      <c r="D1209" s="185">
        <v>1966</v>
      </c>
      <c r="E1209" s="185"/>
      <c r="F1209" s="203" t="s">
        <v>273</v>
      </c>
      <c r="G1209" s="185">
        <v>2</v>
      </c>
      <c r="H1209" s="185">
        <v>1</v>
      </c>
      <c r="I1209" s="186">
        <v>342.5</v>
      </c>
      <c r="J1209" s="186">
        <v>273.8</v>
      </c>
      <c r="K1209" s="186">
        <v>273.8</v>
      </c>
      <c r="L1209" s="202">
        <v>18</v>
      </c>
      <c r="M1209" s="185" t="s">
        <v>271</v>
      </c>
      <c r="N1209" s="185" t="s">
        <v>275</v>
      </c>
      <c r="O1209" s="185" t="s">
        <v>288</v>
      </c>
      <c r="P1209" s="186">
        <v>1321115.3999999999</v>
      </c>
      <c r="Q1209" s="186">
        <v>0</v>
      </c>
      <c r="R1209" s="186">
        <v>0</v>
      </c>
      <c r="S1209" s="186">
        <f>P1209-Q1209-R1209</f>
        <v>1321115.3999999999</v>
      </c>
      <c r="T1209" s="189">
        <f t="shared" si="191"/>
        <v>3857.2712408759121</v>
      </c>
      <c r="U1209" s="189">
        <f>Y1209</f>
        <v>3857.271240875913</v>
      </c>
      <c r="V1209" s="170">
        <f t="shared" si="195"/>
        <v>0</v>
      </c>
      <c r="W1209" s="170"/>
      <c r="X1209" s="170"/>
      <c r="Y1209" s="173">
        <f t="shared" si="196"/>
        <v>3857.271240875913</v>
      </c>
      <c r="AA1209" s="173">
        <f t="shared" si="192"/>
        <v>253</v>
      </c>
      <c r="AH1209" s="173" t="e">
        <f t="shared" si="193"/>
        <v>#N/A</v>
      </c>
      <c r="AS1209" s="173" t="e">
        <f t="shared" si="194"/>
        <v>#N/A</v>
      </c>
      <c r="DT1209" s="144"/>
      <c r="DU1209" s="144"/>
      <c r="DV1209" s="144"/>
      <c r="EJ1209" s="145"/>
      <c r="ES1209" s="146"/>
      <c r="FV1209" s="147"/>
      <c r="GL1209" s="148"/>
    </row>
    <row r="1210" spans="1:194" s="142" customFormat="1" ht="36" customHeight="1" x14ac:dyDescent="0.9">
      <c r="A1210" s="173">
        <v>1</v>
      </c>
      <c r="B1210" s="91">
        <f>SUBTOTAL(103,$A$957:A1210)</f>
        <v>203</v>
      </c>
      <c r="C1210" s="201" t="s">
        <v>105</v>
      </c>
      <c r="D1210" s="185">
        <v>1970</v>
      </c>
      <c r="E1210" s="185"/>
      <c r="F1210" s="203" t="s">
        <v>273</v>
      </c>
      <c r="G1210" s="185">
        <v>2</v>
      </c>
      <c r="H1210" s="185">
        <v>1</v>
      </c>
      <c r="I1210" s="186">
        <v>303.89999999999998</v>
      </c>
      <c r="J1210" s="186">
        <v>272.3</v>
      </c>
      <c r="K1210" s="186">
        <v>272.3</v>
      </c>
      <c r="L1210" s="202">
        <v>10</v>
      </c>
      <c r="M1210" s="185" t="s">
        <v>271</v>
      </c>
      <c r="N1210" s="185" t="s">
        <v>275</v>
      </c>
      <c r="O1210" s="185" t="s">
        <v>288</v>
      </c>
      <c r="P1210" s="186">
        <v>1289777.1900000002</v>
      </c>
      <c r="Q1210" s="186">
        <v>0</v>
      </c>
      <c r="R1210" s="186">
        <v>0</v>
      </c>
      <c r="S1210" s="186">
        <f>P1210-Q1210-R1210</f>
        <v>1289777.1900000002</v>
      </c>
      <c r="T1210" s="189">
        <f t="shared" si="191"/>
        <v>4244.0842053307015</v>
      </c>
      <c r="U1210" s="189">
        <f>Y1210</f>
        <v>4244.1085883514324</v>
      </c>
      <c r="V1210" s="170">
        <f t="shared" si="195"/>
        <v>2.4383020730965654E-2</v>
      </c>
      <c r="W1210" s="170"/>
      <c r="X1210" s="170"/>
      <c r="Y1210" s="173">
        <f t="shared" si="196"/>
        <v>4244.1085883514324</v>
      </c>
      <c r="AA1210" s="173">
        <f t="shared" si="192"/>
        <v>247</v>
      </c>
      <c r="AH1210" s="173" t="e">
        <f t="shared" si="193"/>
        <v>#N/A</v>
      </c>
      <c r="AS1210" s="173" t="e">
        <f t="shared" si="194"/>
        <v>#N/A</v>
      </c>
      <c r="DT1210" s="144"/>
      <c r="DU1210" s="144"/>
      <c r="DV1210" s="144"/>
      <c r="EJ1210" s="145"/>
      <c r="ES1210" s="146"/>
      <c r="FV1210" s="147"/>
      <c r="GL1210" s="148"/>
    </row>
    <row r="1211" spans="1:194" s="173" customFormat="1" ht="36" customHeight="1" x14ac:dyDescent="0.9">
      <c r="B1211" s="90" t="s">
        <v>883</v>
      </c>
      <c r="C1211" s="192"/>
      <c r="D1211" s="185" t="s">
        <v>915</v>
      </c>
      <c r="E1211" s="185" t="s">
        <v>915</v>
      </c>
      <c r="F1211" s="185" t="s">
        <v>915</v>
      </c>
      <c r="G1211" s="185" t="s">
        <v>915</v>
      </c>
      <c r="H1211" s="185" t="s">
        <v>915</v>
      </c>
      <c r="I1211" s="186">
        <f>SUM(I1212:I1214)</f>
        <v>2009.6000000000001</v>
      </c>
      <c r="J1211" s="186">
        <f>SUM(J1212:J1214)</f>
        <v>1550.3999999999999</v>
      </c>
      <c r="K1211" s="186">
        <f>SUM(K1212:K1214)</f>
        <v>1491.6</v>
      </c>
      <c r="L1211" s="187">
        <f>SUM(L1212:L1214)</f>
        <v>77</v>
      </c>
      <c r="M1211" s="185" t="s">
        <v>915</v>
      </c>
      <c r="N1211" s="185" t="s">
        <v>915</v>
      </c>
      <c r="O1211" s="188" t="s">
        <v>915</v>
      </c>
      <c r="P1211" s="189">
        <v>6332416.4000000004</v>
      </c>
      <c r="Q1211" s="189">
        <f>Q1212+Q1213+Q1214</f>
        <v>0</v>
      </c>
      <c r="R1211" s="189">
        <f>R1212+R1213+R1214</f>
        <v>0</v>
      </c>
      <c r="S1211" s="189">
        <f>S1212+S1213+S1214</f>
        <v>6332416.4000000004</v>
      </c>
      <c r="T1211" s="189">
        <f t="shared" si="191"/>
        <v>3151.0830015923566</v>
      </c>
      <c r="U1211" s="189">
        <f>MAX(U1212:U1214)</f>
        <v>5763.1223404255315</v>
      </c>
      <c r="V1211" s="170">
        <f t="shared" si="195"/>
        <v>2612.039338833175</v>
      </c>
      <c r="W1211" s="170"/>
      <c r="X1211" s="170"/>
      <c r="Y1211" s="173" t="e">
        <f t="shared" si="196"/>
        <v>#N/A</v>
      </c>
      <c r="AA1211" s="173" t="e">
        <f t="shared" si="192"/>
        <v>#N/A</v>
      </c>
      <c r="AH1211" s="173" t="e">
        <f t="shared" si="193"/>
        <v>#N/A</v>
      </c>
      <c r="AS1211" s="173" t="e">
        <f t="shared" si="194"/>
        <v>#N/A</v>
      </c>
    </row>
    <row r="1212" spans="1:194" s="142" customFormat="1" ht="36" customHeight="1" x14ac:dyDescent="0.9">
      <c r="A1212" s="173">
        <v>1</v>
      </c>
      <c r="B1212" s="91">
        <f>SUBTOTAL(103,$A$957:A1212)</f>
        <v>204</v>
      </c>
      <c r="C1212" s="201" t="s">
        <v>198</v>
      </c>
      <c r="D1212" s="185" t="s">
        <v>321</v>
      </c>
      <c r="E1212" s="185"/>
      <c r="F1212" s="203" t="s">
        <v>273</v>
      </c>
      <c r="G1212" s="185" t="s">
        <v>311</v>
      </c>
      <c r="H1212" s="185" t="s">
        <v>311</v>
      </c>
      <c r="I1212" s="186">
        <v>945.6</v>
      </c>
      <c r="J1212" s="186">
        <v>572.29999999999995</v>
      </c>
      <c r="K1212" s="186">
        <v>513.5</v>
      </c>
      <c r="L1212" s="202">
        <v>21</v>
      </c>
      <c r="M1212" s="185" t="s">
        <v>271</v>
      </c>
      <c r="N1212" s="185" t="s">
        <v>272</v>
      </c>
      <c r="O1212" s="185" t="s">
        <v>274</v>
      </c>
      <c r="P1212" s="186">
        <v>3549600</v>
      </c>
      <c r="Q1212" s="186">
        <v>0</v>
      </c>
      <c r="R1212" s="186">
        <v>0</v>
      </c>
      <c r="S1212" s="186">
        <f>P1212-Q1212-R1212</f>
        <v>3549600</v>
      </c>
      <c r="T1212" s="189">
        <f t="shared" si="191"/>
        <v>3753.8071065989848</v>
      </c>
      <c r="U1212" s="189">
        <f>Y1212</f>
        <v>3843.4568527918782</v>
      </c>
      <c r="V1212" s="170">
        <f t="shared" si="195"/>
        <v>89.649746192893417</v>
      </c>
      <c r="W1212" s="170"/>
      <c r="X1212" s="170"/>
      <c r="Y1212" s="173">
        <f t="shared" si="196"/>
        <v>3843.4568527918782</v>
      </c>
      <c r="AA1212" s="173">
        <f t="shared" si="192"/>
        <v>696</v>
      </c>
      <c r="AH1212" s="173" t="e">
        <f t="shared" si="193"/>
        <v>#N/A</v>
      </c>
      <c r="AS1212" s="173" t="e">
        <f t="shared" si="194"/>
        <v>#N/A</v>
      </c>
      <c r="DT1212" s="144"/>
      <c r="DU1212" s="144"/>
      <c r="DV1212" s="144"/>
      <c r="EJ1212" s="145"/>
      <c r="ES1212" s="146"/>
      <c r="FV1212" s="147"/>
      <c r="GL1212" s="148"/>
    </row>
    <row r="1213" spans="1:194" s="142" customFormat="1" ht="36" customHeight="1" x14ac:dyDescent="0.9">
      <c r="A1213" s="173">
        <v>1</v>
      </c>
      <c r="B1213" s="91">
        <f>SUBTOTAL(103,$A$957:A1213)</f>
        <v>205</v>
      </c>
      <c r="C1213" s="201" t="s">
        <v>199</v>
      </c>
      <c r="D1213" s="185" t="s">
        <v>322</v>
      </c>
      <c r="E1213" s="185"/>
      <c r="F1213" s="203" t="s">
        <v>326</v>
      </c>
      <c r="G1213" s="185" t="s">
        <v>320</v>
      </c>
      <c r="H1213" s="185" t="s">
        <v>312</v>
      </c>
      <c r="I1213" s="186">
        <v>533.70000000000005</v>
      </c>
      <c r="J1213" s="186">
        <v>488.8</v>
      </c>
      <c r="K1213" s="186">
        <v>488.8</v>
      </c>
      <c r="L1213" s="202">
        <v>30</v>
      </c>
      <c r="M1213" s="185" t="s">
        <v>271</v>
      </c>
      <c r="N1213" s="185" t="s">
        <v>272</v>
      </c>
      <c r="O1213" s="185" t="s">
        <v>274</v>
      </c>
      <c r="P1213" s="186">
        <v>1391408.2</v>
      </c>
      <c r="Q1213" s="186">
        <v>0</v>
      </c>
      <c r="R1213" s="186">
        <v>0</v>
      </c>
      <c r="S1213" s="186">
        <f>P1213-Q1213-R1213</f>
        <v>1391408.2</v>
      </c>
      <c r="T1213" s="189">
        <f t="shared" si="191"/>
        <v>2607.0979951283489</v>
      </c>
      <c r="U1213" s="189">
        <f>AG1213</f>
        <v>5763.1223404255315</v>
      </c>
      <c r="V1213" s="170">
        <f t="shared" si="195"/>
        <v>3156.0243452971827</v>
      </c>
      <c r="W1213" s="170"/>
      <c r="X1213" s="170"/>
      <c r="Y1213" s="173" t="e">
        <f t="shared" si="196"/>
        <v>#N/A</v>
      </c>
      <c r="AA1213" s="173" t="e">
        <f t="shared" si="192"/>
        <v>#N/A</v>
      </c>
      <c r="AG1213" s="173">
        <f>AH1213*6191.24/J1213</f>
        <v>5763.1223404255315</v>
      </c>
      <c r="AH1213" s="173">
        <f t="shared" si="193"/>
        <v>455</v>
      </c>
      <c r="AS1213" s="173" t="e">
        <f t="shared" si="194"/>
        <v>#N/A</v>
      </c>
      <c r="DT1213" s="144"/>
      <c r="DU1213" s="144"/>
      <c r="DV1213" s="144"/>
      <c r="EJ1213" s="145"/>
      <c r="ES1213" s="146"/>
      <c r="FV1213" s="147"/>
      <c r="GL1213" s="148"/>
    </row>
    <row r="1214" spans="1:194" s="142" customFormat="1" ht="36" customHeight="1" x14ac:dyDescent="0.9">
      <c r="A1214" s="173">
        <v>1</v>
      </c>
      <c r="B1214" s="91">
        <f>SUBTOTAL(103,$A$957:A1214)</f>
        <v>206</v>
      </c>
      <c r="C1214" s="201" t="s">
        <v>200</v>
      </c>
      <c r="D1214" s="185" t="s">
        <v>323</v>
      </c>
      <c r="E1214" s="185"/>
      <c r="F1214" s="203" t="s">
        <v>326</v>
      </c>
      <c r="G1214" s="185" t="s">
        <v>320</v>
      </c>
      <c r="H1214" s="185" t="s">
        <v>312</v>
      </c>
      <c r="I1214" s="186">
        <v>530.29999999999995</v>
      </c>
      <c r="J1214" s="186">
        <v>489.3</v>
      </c>
      <c r="K1214" s="186">
        <v>489.3</v>
      </c>
      <c r="L1214" s="202">
        <v>26</v>
      </c>
      <c r="M1214" s="185" t="s">
        <v>271</v>
      </c>
      <c r="N1214" s="185" t="s">
        <v>272</v>
      </c>
      <c r="O1214" s="185" t="s">
        <v>274</v>
      </c>
      <c r="P1214" s="186">
        <v>1391408.2</v>
      </c>
      <c r="Q1214" s="186">
        <v>0</v>
      </c>
      <c r="R1214" s="186">
        <v>0</v>
      </c>
      <c r="S1214" s="186">
        <f>P1214-Q1214-R1214</f>
        <v>1391408.2</v>
      </c>
      <c r="T1214" s="189">
        <f t="shared" si="191"/>
        <v>2623.8133132189328</v>
      </c>
      <c r="U1214" s="189">
        <f>AG1214</f>
        <v>5757.2331902718161</v>
      </c>
      <c r="V1214" s="170">
        <f t="shared" si="195"/>
        <v>3133.4198770528833</v>
      </c>
      <c r="W1214" s="170"/>
      <c r="X1214" s="170"/>
      <c r="Y1214" s="173" t="e">
        <f t="shared" si="196"/>
        <v>#N/A</v>
      </c>
      <c r="AA1214" s="173" t="e">
        <f t="shared" si="192"/>
        <v>#N/A</v>
      </c>
      <c r="AG1214" s="173">
        <f>AH1214*6191.24/J1214</f>
        <v>5757.2331902718161</v>
      </c>
      <c r="AH1214" s="173">
        <f t="shared" si="193"/>
        <v>455</v>
      </c>
      <c r="AS1214" s="173" t="e">
        <f t="shared" si="194"/>
        <v>#N/A</v>
      </c>
      <c r="DT1214" s="144"/>
      <c r="DU1214" s="144"/>
      <c r="DV1214" s="144"/>
      <c r="EJ1214" s="145"/>
      <c r="ES1214" s="146"/>
      <c r="FV1214" s="147"/>
      <c r="GL1214" s="148"/>
    </row>
    <row r="1215" spans="1:194" s="173" customFormat="1" ht="36" customHeight="1" x14ac:dyDescent="0.9">
      <c r="B1215" s="90" t="s">
        <v>884</v>
      </c>
      <c r="C1215" s="90"/>
      <c r="D1215" s="185" t="s">
        <v>915</v>
      </c>
      <c r="E1215" s="185" t="s">
        <v>915</v>
      </c>
      <c r="F1215" s="185" t="s">
        <v>915</v>
      </c>
      <c r="G1215" s="185" t="s">
        <v>915</v>
      </c>
      <c r="H1215" s="185" t="s">
        <v>915</v>
      </c>
      <c r="I1215" s="186">
        <f>I1216</f>
        <v>814.6</v>
      </c>
      <c r="J1215" s="186">
        <f>J1216</f>
        <v>814.6</v>
      </c>
      <c r="K1215" s="186">
        <f>K1216</f>
        <v>336.9</v>
      </c>
      <c r="L1215" s="187">
        <f>L1216</f>
        <v>26</v>
      </c>
      <c r="M1215" s="185" t="s">
        <v>915</v>
      </c>
      <c r="N1215" s="185" t="s">
        <v>915</v>
      </c>
      <c r="O1215" s="188" t="s">
        <v>915</v>
      </c>
      <c r="P1215" s="189">
        <v>4686244.08</v>
      </c>
      <c r="Q1215" s="189">
        <f>Q1216</f>
        <v>0</v>
      </c>
      <c r="R1215" s="189">
        <f>R1216</f>
        <v>0</v>
      </c>
      <c r="S1215" s="189">
        <f>S1216</f>
        <v>4686244.08</v>
      </c>
      <c r="T1215" s="189">
        <f t="shared" si="191"/>
        <v>5752.8162042720351</v>
      </c>
      <c r="U1215" s="189">
        <f>T1215</f>
        <v>5752.8162042720351</v>
      </c>
      <c r="V1215" s="170">
        <f t="shared" si="195"/>
        <v>0</v>
      </c>
      <c r="W1215" s="170"/>
      <c r="X1215" s="170"/>
      <c r="Y1215" s="173" t="e">
        <f t="shared" si="196"/>
        <v>#N/A</v>
      </c>
      <c r="AA1215" s="173" t="e">
        <f t="shared" si="192"/>
        <v>#N/A</v>
      </c>
      <c r="AH1215" s="173" t="e">
        <f t="shared" si="193"/>
        <v>#N/A</v>
      </c>
      <c r="AS1215" s="173" t="e">
        <f t="shared" si="194"/>
        <v>#N/A</v>
      </c>
    </row>
    <row r="1216" spans="1:194" s="142" customFormat="1" ht="36" customHeight="1" x14ac:dyDescent="0.9">
      <c r="A1216" s="173">
        <v>1</v>
      </c>
      <c r="B1216" s="91">
        <f>SUBTOTAL(103,$A$957:A1216)</f>
        <v>207</v>
      </c>
      <c r="C1216" s="201" t="s">
        <v>1397</v>
      </c>
      <c r="D1216" s="185">
        <v>1950</v>
      </c>
      <c r="E1216" s="185"/>
      <c r="F1216" s="203" t="s">
        <v>273</v>
      </c>
      <c r="G1216" s="185">
        <v>2</v>
      </c>
      <c r="H1216" s="185">
        <v>2</v>
      </c>
      <c r="I1216" s="186">
        <v>814.6</v>
      </c>
      <c r="J1216" s="186">
        <v>814.6</v>
      </c>
      <c r="K1216" s="186">
        <v>336.9</v>
      </c>
      <c r="L1216" s="202">
        <v>26</v>
      </c>
      <c r="M1216" s="185" t="s">
        <v>271</v>
      </c>
      <c r="N1216" s="185" t="s">
        <v>275</v>
      </c>
      <c r="O1216" s="185" t="s">
        <v>1326</v>
      </c>
      <c r="P1216" s="186">
        <v>4686244.08</v>
      </c>
      <c r="Q1216" s="186">
        <v>0</v>
      </c>
      <c r="R1216" s="186">
        <v>0</v>
      </c>
      <c r="S1216" s="186">
        <f>P1216-Q1216-R1216</f>
        <v>4686244.08</v>
      </c>
      <c r="T1216" s="189">
        <f t="shared" si="191"/>
        <v>5752.8162042720351</v>
      </c>
      <c r="U1216" s="189">
        <f>T1216</f>
        <v>5752.8162042720351</v>
      </c>
      <c r="V1216" s="170">
        <f t="shared" si="195"/>
        <v>0</v>
      </c>
      <c r="W1216" s="170"/>
      <c r="X1216" s="170"/>
      <c r="Y1216" s="173">
        <f t="shared" si="196"/>
        <v>4615.3891480481216</v>
      </c>
      <c r="AA1216" s="173">
        <f t="shared" si="192"/>
        <v>720</v>
      </c>
      <c r="AH1216" s="173" t="e">
        <f t="shared" si="193"/>
        <v>#N/A</v>
      </c>
      <c r="AS1216" s="173" t="e">
        <f t="shared" si="194"/>
        <v>#N/A</v>
      </c>
      <c r="DT1216" s="144"/>
      <c r="DU1216" s="144"/>
      <c r="DV1216" s="144"/>
      <c r="EJ1216" s="145"/>
      <c r="ES1216" s="146"/>
      <c r="FV1216" s="147"/>
      <c r="GL1216" s="148"/>
    </row>
    <row r="1217" spans="1:194" s="173" customFormat="1" ht="36" customHeight="1" x14ac:dyDescent="0.9">
      <c r="B1217" s="90" t="s">
        <v>886</v>
      </c>
      <c r="C1217" s="90"/>
      <c r="D1217" s="185" t="s">
        <v>915</v>
      </c>
      <c r="E1217" s="185" t="s">
        <v>915</v>
      </c>
      <c r="F1217" s="185" t="s">
        <v>915</v>
      </c>
      <c r="G1217" s="185" t="s">
        <v>915</v>
      </c>
      <c r="H1217" s="185" t="s">
        <v>915</v>
      </c>
      <c r="I1217" s="186">
        <f>I1218</f>
        <v>350.9</v>
      </c>
      <c r="J1217" s="186">
        <f>J1218</f>
        <v>311.89999999999998</v>
      </c>
      <c r="K1217" s="186">
        <f>K1218</f>
        <v>311.89999999999998</v>
      </c>
      <c r="L1217" s="187">
        <f>L1218</f>
        <v>18</v>
      </c>
      <c r="M1217" s="185" t="s">
        <v>915</v>
      </c>
      <c r="N1217" s="185" t="s">
        <v>915</v>
      </c>
      <c r="O1217" s="188" t="s">
        <v>915</v>
      </c>
      <c r="P1217" s="189">
        <v>3600600</v>
      </c>
      <c r="Q1217" s="189">
        <f>Q1218</f>
        <v>0</v>
      </c>
      <c r="R1217" s="189">
        <f>R1218</f>
        <v>0</v>
      </c>
      <c r="S1217" s="189">
        <f>S1218</f>
        <v>3600600</v>
      </c>
      <c r="T1217" s="189">
        <f t="shared" si="191"/>
        <v>10261.043032202908</v>
      </c>
      <c r="U1217" s="189">
        <f>U1218</f>
        <v>11841.304839581195</v>
      </c>
      <c r="V1217" s="170">
        <f t="shared" si="195"/>
        <v>1580.2618073782869</v>
      </c>
      <c r="W1217" s="170"/>
      <c r="X1217" s="170"/>
      <c r="Y1217" s="173" t="e">
        <f t="shared" si="196"/>
        <v>#N/A</v>
      </c>
      <c r="AA1217" s="173" t="e">
        <f t="shared" si="192"/>
        <v>#N/A</v>
      </c>
      <c r="AH1217" s="173" t="e">
        <f t="shared" si="193"/>
        <v>#N/A</v>
      </c>
      <c r="AS1217" s="173" t="e">
        <f t="shared" si="194"/>
        <v>#N/A</v>
      </c>
    </row>
    <row r="1218" spans="1:194" s="142" customFormat="1" ht="36" customHeight="1" x14ac:dyDescent="0.9">
      <c r="A1218" s="173">
        <v>1</v>
      </c>
      <c r="B1218" s="91">
        <f>SUBTOTAL(103,$A$957:A1218)</f>
        <v>208</v>
      </c>
      <c r="C1218" s="201" t="s">
        <v>819</v>
      </c>
      <c r="D1218" s="185" t="s">
        <v>323</v>
      </c>
      <c r="E1218" s="185"/>
      <c r="F1218" s="203" t="s">
        <v>273</v>
      </c>
      <c r="G1218" s="185" t="s">
        <v>311</v>
      </c>
      <c r="H1218" s="185" t="s">
        <v>312</v>
      </c>
      <c r="I1218" s="186">
        <v>350.9</v>
      </c>
      <c r="J1218" s="186">
        <v>311.89999999999998</v>
      </c>
      <c r="K1218" s="186">
        <v>311.89999999999998</v>
      </c>
      <c r="L1218" s="202">
        <v>18</v>
      </c>
      <c r="M1218" s="185" t="s">
        <v>271</v>
      </c>
      <c r="N1218" s="185" t="s">
        <v>272</v>
      </c>
      <c r="O1218" s="185" t="s">
        <v>274</v>
      </c>
      <c r="P1218" s="186">
        <v>3600600</v>
      </c>
      <c r="Q1218" s="186">
        <v>0</v>
      </c>
      <c r="R1218" s="186">
        <v>0</v>
      </c>
      <c r="S1218" s="186">
        <f>P1218-Q1218-R1218</f>
        <v>3600600</v>
      </c>
      <c r="T1218" s="189">
        <f t="shared" si="191"/>
        <v>10261.043032202908</v>
      </c>
      <c r="U1218" s="189">
        <f>Y1218+AG1218</f>
        <v>11841.304839581195</v>
      </c>
      <c r="V1218" s="170">
        <f t="shared" si="195"/>
        <v>1580.2618073782869</v>
      </c>
      <c r="W1218" s="170"/>
      <c r="X1218" s="170"/>
      <c r="Y1218" s="173">
        <f t="shared" si="196"/>
        <v>5223.2881162724425</v>
      </c>
      <c r="AA1218" s="173">
        <f t="shared" si="192"/>
        <v>351</v>
      </c>
      <c r="AG1218" s="173">
        <f>AH1218*6191.24/J1218</f>
        <v>6618.0167233087523</v>
      </c>
      <c r="AH1218" s="173">
        <f t="shared" si="193"/>
        <v>333.4</v>
      </c>
      <c r="AS1218" s="173" t="e">
        <f t="shared" si="194"/>
        <v>#N/A</v>
      </c>
      <c r="DT1218" s="144"/>
      <c r="DU1218" s="144"/>
      <c r="DV1218" s="144"/>
      <c r="EJ1218" s="145"/>
      <c r="ES1218" s="146"/>
      <c r="FV1218" s="147"/>
      <c r="GL1218" s="148"/>
    </row>
    <row r="1219" spans="1:194" s="173" customFormat="1" ht="36" customHeight="1" x14ac:dyDescent="0.9">
      <c r="B1219" s="90" t="s">
        <v>905</v>
      </c>
      <c r="C1219" s="90"/>
      <c r="D1219" s="185" t="s">
        <v>915</v>
      </c>
      <c r="E1219" s="185" t="s">
        <v>915</v>
      </c>
      <c r="F1219" s="185" t="s">
        <v>915</v>
      </c>
      <c r="G1219" s="185" t="s">
        <v>915</v>
      </c>
      <c r="H1219" s="185" t="s">
        <v>915</v>
      </c>
      <c r="I1219" s="186">
        <f>I1220</f>
        <v>626</v>
      </c>
      <c r="J1219" s="186">
        <f>J1220</f>
        <v>423.7</v>
      </c>
      <c r="K1219" s="186">
        <f>K1220</f>
        <v>423.7</v>
      </c>
      <c r="L1219" s="187">
        <f>L1220</f>
        <v>23</v>
      </c>
      <c r="M1219" s="185" t="s">
        <v>915</v>
      </c>
      <c r="N1219" s="185" t="s">
        <v>915</v>
      </c>
      <c r="O1219" s="188" t="s">
        <v>915</v>
      </c>
      <c r="P1219" s="189">
        <v>2233993.96</v>
      </c>
      <c r="Q1219" s="189">
        <f>Q1220</f>
        <v>0</v>
      </c>
      <c r="R1219" s="189">
        <f>R1220</f>
        <v>0</v>
      </c>
      <c r="S1219" s="189">
        <f>S1220</f>
        <v>2233993.96</v>
      </c>
      <c r="T1219" s="189">
        <f t="shared" si="191"/>
        <v>3568.6804472843451</v>
      </c>
      <c r="U1219" s="189">
        <f>T1219</f>
        <v>3568.6804472843451</v>
      </c>
      <c r="V1219" s="170">
        <f t="shared" si="195"/>
        <v>0</v>
      </c>
      <c r="W1219" s="170"/>
      <c r="X1219" s="170"/>
      <c r="Y1219" s="173" t="e">
        <f t="shared" si="196"/>
        <v>#N/A</v>
      </c>
      <c r="AA1219" s="173" t="e">
        <f t="shared" si="192"/>
        <v>#N/A</v>
      </c>
      <c r="AH1219" s="173" t="e">
        <f t="shared" si="193"/>
        <v>#N/A</v>
      </c>
      <c r="AS1219" s="173" t="e">
        <f t="shared" si="194"/>
        <v>#N/A</v>
      </c>
    </row>
    <row r="1220" spans="1:194" s="142" customFormat="1" ht="36" customHeight="1" x14ac:dyDescent="0.9">
      <c r="A1220" s="173">
        <v>1</v>
      </c>
      <c r="B1220" s="91">
        <f>SUBTOTAL(103,$A$957:A1220)</f>
        <v>209</v>
      </c>
      <c r="C1220" s="201" t="s">
        <v>201</v>
      </c>
      <c r="D1220" s="185" t="s">
        <v>324</v>
      </c>
      <c r="E1220" s="185"/>
      <c r="F1220" s="203" t="s">
        <v>273</v>
      </c>
      <c r="G1220" s="185" t="s">
        <v>320</v>
      </c>
      <c r="H1220" s="185" t="s">
        <v>311</v>
      </c>
      <c r="I1220" s="186">
        <v>626</v>
      </c>
      <c r="J1220" s="186">
        <v>423.7</v>
      </c>
      <c r="K1220" s="186">
        <v>423.7</v>
      </c>
      <c r="L1220" s="202">
        <v>23</v>
      </c>
      <c r="M1220" s="185" t="s">
        <v>271</v>
      </c>
      <c r="N1220" s="185" t="s">
        <v>275</v>
      </c>
      <c r="O1220" s="185" t="s">
        <v>1014</v>
      </c>
      <c r="P1220" s="186">
        <v>2233993.96</v>
      </c>
      <c r="Q1220" s="186">
        <v>0</v>
      </c>
      <c r="R1220" s="186">
        <v>0</v>
      </c>
      <c r="S1220" s="186">
        <f>P1220-Q1220-R1220</f>
        <v>2233993.96</v>
      </c>
      <c r="T1220" s="189">
        <f t="shared" si="191"/>
        <v>3568.6804472843451</v>
      </c>
      <c r="U1220" s="189">
        <f>T1220</f>
        <v>3568.6804472843451</v>
      </c>
      <c r="V1220" s="170">
        <f t="shared" si="195"/>
        <v>0</v>
      </c>
      <c r="W1220" s="170"/>
      <c r="X1220" s="170"/>
      <c r="Y1220" s="173">
        <f t="shared" si="196"/>
        <v>3136.4166134185302</v>
      </c>
      <c r="AA1220" s="173">
        <f t="shared" si="192"/>
        <v>376</v>
      </c>
      <c r="AH1220" s="173" t="e">
        <f t="shared" si="193"/>
        <v>#N/A</v>
      </c>
      <c r="AS1220" s="173" t="e">
        <f t="shared" si="194"/>
        <v>#N/A</v>
      </c>
      <c r="DT1220" s="144"/>
      <c r="DU1220" s="144"/>
      <c r="DV1220" s="144"/>
      <c r="EJ1220" s="145"/>
      <c r="ES1220" s="146"/>
      <c r="FV1220" s="147"/>
      <c r="GL1220" s="148"/>
    </row>
    <row r="1221" spans="1:194" s="173" customFormat="1" ht="36" customHeight="1" x14ac:dyDescent="0.9">
      <c r="B1221" s="90" t="s">
        <v>887</v>
      </c>
      <c r="C1221" s="192"/>
      <c r="D1221" s="185" t="s">
        <v>915</v>
      </c>
      <c r="E1221" s="185" t="s">
        <v>915</v>
      </c>
      <c r="F1221" s="185" t="s">
        <v>915</v>
      </c>
      <c r="G1221" s="185" t="s">
        <v>915</v>
      </c>
      <c r="H1221" s="185" t="s">
        <v>915</v>
      </c>
      <c r="I1221" s="186">
        <f>SUM(I1222:I1224)</f>
        <v>4977.8</v>
      </c>
      <c r="J1221" s="186">
        <f>SUM(J1222:J1224)</f>
        <v>4611.5</v>
      </c>
      <c r="K1221" s="186">
        <f>SUM(K1222:K1224)</f>
        <v>4611.5</v>
      </c>
      <c r="L1221" s="187">
        <f>SUM(L1222:L1224)</f>
        <v>158</v>
      </c>
      <c r="M1221" s="185" t="s">
        <v>915</v>
      </c>
      <c r="N1221" s="185" t="s">
        <v>915</v>
      </c>
      <c r="O1221" s="188" t="s">
        <v>915</v>
      </c>
      <c r="P1221" s="189">
        <v>14392200</v>
      </c>
      <c r="Q1221" s="189">
        <f>Q1222+Q1223+Q1224</f>
        <v>0</v>
      </c>
      <c r="R1221" s="189">
        <f>R1222+R1223+R1224</f>
        <v>0</v>
      </c>
      <c r="S1221" s="189">
        <f>S1222+S1223+S1224</f>
        <v>14392200</v>
      </c>
      <c r="T1221" s="189">
        <f t="shared" si="191"/>
        <v>2891.2772710836111</v>
      </c>
      <c r="U1221" s="189">
        <f>MAX(U1222:U1224)</f>
        <v>3123.9496797804209</v>
      </c>
      <c r="V1221" s="170">
        <f t="shared" si="195"/>
        <v>232.67240869680973</v>
      </c>
      <c r="W1221" s="170"/>
      <c r="X1221" s="170"/>
      <c r="Y1221" s="173" t="e">
        <f t="shared" si="196"/>
        <v>#N/A</v>
      </c>
      <c r="AA1221" s="173" t="e">
        <f t="shared" si="192"/>
        <v>#N/A</v>
      </c>
      <c r="AH1221" s="173" t="e">
        <f t="shared" si="193"/>
        <v>#N/A</v>
      </c>
      <c r="AS1221" s="173" t="e">
        <f t="shared" si="194"/>
        <v>#N/A</v>
      </c>
    </row>
    <row r="1222" spans="1:194" s="142" customFormat="1" ht="36" customHeight="1" x14ac:dyDescent="0.9">
      <c r="A1222" s="173">
        <v>1</v>
      </c>
      <c r="B1222" s="91">
        <f>SUBTOTAL(103,$A$957:A1222)</f>
        <v>210</v>
      </c>
      <c r="C1222" s="201" t="s">
        <v>218</v>
      </c>
      <c r="D1222" s="185">
        <v>1977</v>
      </c>
      <c r="E1222" s="185"/>
      <c r="F1222" s="203" t="s">
        <v>273</v>
      </c>
      <c r="G1222" s="185">
        <v>3</v>
      </c>
      <c r="H1222" s="185">
        <v>3</v>
      </c>
      <c r="I1222" s="186">
        <v>1967.4</v>
      </c>
      <c r="J1222" s="186">
        <v>1816.8</v>
      </c>
      <c r="K1222" s="186">
        <v>1816.8</v>
      </c>
      <c r="L1222" s="202">
        <v>56</v>
      </c>
      <c r="M1222" s="185" t="s">
        <v>271</v>
      </c>
      <c r="N1222" s="185" t="s">
        <v>275</v>
      </c>
      <c r="O1222" s="185" t="s">
        <v>340</v>
      </c>
      <c r="P1222" s="186">
        <v>6002700</v>
      </c>
      <c r="Q1222" s="186">
        <v>0</v>
      </c>
      <c r="R1222" s="186">
        <v>0</v>
      </c>
      <c r="S1222" s="186">
        <f>P1222-Q1222-R1222</f>
        <v>6002700</v>
      </c>
      <c r="T1222" s="189">
        <f t="shared" si="191"/>
        <v>3051.0826471485207</v>
      </c>
      <c r="U1222" s="189">
        <f>Y1222</f>
        <v>3123.9496797804209</v>
      </c>
      <c r="V1222" s="170">
        <f t="shared" si="195"/>
        <v>72.867032631900202</v>
      </c>
      <c r="W1222" s="170"/>
      <c r="X1222" s="170"/>
      <c r="Y1222" s="173">
        <f t="shared" si="196"/>
        <v>3123.9496797804209</v>
      </c>
      <c r="AA1222" s="173">
        <f t="shared" si="192"/>
        <v>1177</v>
      </c>
      <c r="AH1222" s="173" t="e">
        <f t="shared" si="193"/>
        <v>#N/A</v>
      </c>
      <c r="AS1222" s="173" t="e">
        <f t="shared" si="194"/>
        <v>#N/A</v>
      </c>
      <c r="DT1222" s="144"/>
      <c r="DU1222" s="144"/>
      <c r="DV1222" s="144"/>
      <c r="EJ1222" s="145"/>
      <c r="ES1222" s="146"/>
      <c r="FV1222" s="147"/>
      <c r="GL1222" s="148"/>
    </row>
    <row r="1223" spans="1:194" s="142" customFormat="1" ht="36" customHeight="1" x14ac:dyDescent="0.9">
      <c r="A1223" s="173">
        <v>1</v>
      </c>
      <c r="B1223" s="91">
        <f>SUBTOTAL(103,$A$957:A1223)</f>
        <v>211</v>
      </c>
      <c r="C1223" s="201" t="s">
        <v>219</v>
      </c>
      <c r="D1223" s="185">
        <v>1989</v>
      </c>
      <c r="E1223" s="185"/>
      <c r="F1223" s="203" t="s">
        <v>273</v>
      </c>
      <c r="G1223" s="185">
        <v>3</v>
      </c>
      <c r="H1223" s="185">
        <v>2</v>
      </c>
      <c r="I1223" s="186">
        <v>1426.9</v>
      </c>
      <c r="J1223" s="186">
        <v>1318.5</v>
      </c>
      <c r="K1223" s="186">
        <v>1318.5</v>
      </c>
      <c r="L1223" s="202">
        <v>54</v>
      </c>
      <c r="M1223" s="185" t="s">
        <v>271</v>
      </c>
      <c r="N1223" s="185" t="s">
        <v>275</v>
      </c>
      <c r="O1223" s="185" t="s">
        <v>340</v>
      </c>
      <c r="P1223" s="186">
        <v>4059600</v>
      </c>
      <c r="Q1223" s="186">
        <v>0</v>
      </c>
      <c r="R1223" s="186">
        <v>0</v>
      </c>
      <c r="S1223" s="186">
        <f>P1223-Q1223-R1223</f>
        <v>4059600</v>
      </c>
      <c r="T1223" s="189">
        <f t="shared" si="191"/>
        <v>2845.0487069871747</v>
      </c>
      <c r="U1223" s="189">
        <f>Y1223</f>
        <v>2912.9951643422805</v>
      </c>
      <c r="V1223" s="170">
        <f t="shared" si="195"/>
        <v>67.946457355105849</v>
      </c>
      <c r="W1223" s="170"/>
      <c r="X1223" s="170"/>
      <c r="Y1223" s="173">
        <f t="shared" si="196"/>
        <v>2912.9951643422805</v>
      </c>
      <c r="AA1223" s="173">
        <f t="shared" si="192"/>
        <v>796</v>
      </c>
      <c r="AH1223" s="173" t="e">
        <f t="shared" si="193"/>
        <v>#N/A</v>
      </c>
      <c r="AS1223" s="173" t="e">
        <f t="shared" si="194"/>
        <v>#N/A</v>
      </c>
      <c r="DT1223" s="144"/>
      <c r="DU1223" s="144"/>
      <c r="DV1223" s="144"/>
      <c r="EJ1223" s="145"/>
      <c r="ES1223" s="146"/>
      <c r="FV1223" s="147"/>
      <c r="GL1223" s="148"/>
    </row>
    <row r="1224" spans="1:194" s="142" customFormat="1" ht="36" customHeight="1" x14ac:dyDescent="0.9">
      <c r="A1224" s="173">
        <v>1</v>
      </c>
      <c r="B1224" s="91">
        <f>SUBTOTAL(103,$A$957:A1224)</f>
        <v>212</v>
      </c>
      <c r="C1224" s="201" t="s">
        <v>220</v>
      </c>
      <c r="D1224" s="185">
        <v>1972</v>
      </c>
      <c r="E1224" s="185"/>
      <c r="F1224" s="203" t="s">
        <v>273</v>
      </c>
      <c r="G1224" s="185">
        <v>3</v>
      </c>
      <c r="H1224" s="185">
        <v>3</v>
      </c>
      <c r="I1224" s="186">
        <v>1583.5</v>
      </c>
      <c r="J1224" s="186">
        <v>1476.2</v>
      </c>
      <c r="K1224" s="186">
        <v>1476.2</v>
      </c>
      <c r="L1224" s="202">
        <v>48</v>
      </c>
      <c r="M1224" s="185" t="s">
        <v>271</v>
      </c>
      <c r="N1224" s="185" t="s">
        <v>275</v>
      </c>
      <c r="O1224" s="185" t="s">
        <v>340</v>
      </c>
      <c r="P1224" s="186">
        <v>4329900</v>
      </c>
      <c r="Q1224" s="186">
        <v>0</v>
      </c>
      <c r="R1224" s="186">
        <v>0</v>
      </c>
      <c r="S1224" s="186">
        <f>P1224-Q1224-R1224</f>
        <v>4329900</v>
      </c>
      <c r="T1224" s="189">
        <f t="shared" si="191"/>
        <v>2734.3858541206187</v>
      </c>
      <c r="U1224" s="189">
        <f>Y1224</f>
        <v>2799.6894221660878</v>
      </c>
      <c r="V1224" s="170">
        <f t="shared" si="195"/>
        <v>65.303568045469092</v>
      </c>
      <c r="W1224" s="170"/>
      <c r="X1224" s="170"/>
      <c r="Y1224" s="173">
        <f t="shared" si="196"/>
        <v>2799.6894221660878</v>
      </c>
      <c r="AA1224" s="173">
        <f t="shared" si="192"/>
        <v>849</v>
      </c>
      <c r="AH1224" s="173" t="e">
        <f t="shared" si="193"/>
        <v>#N/A</v>
      </c>
      <c r="AS1224" s="173" t="e">
        <f t="shared" si="194"/>
        <v>#N/A</v>
      </c>
      <c r="DT1224" s="144"/>
      <c r="DU1224" s="144"/>
      <c r="DV1224" s="144"/>
      <c r="EJ1224" s="145"/>
      <c r="ES1224" s="146"/>
      <c r="FV1224" s="147"/>
      <c r="GL1224" s="148"/>
    </row>
    <row r="1225" spans="1:194" s="173" customFormat="1" ht="36" customHeight="1" x14ac:dyDescent="0.9">
      <c r="B1225" s="90" t="s">
        <v>888</v>
      </c>
      <c r="C1225" s="90"/>
      <c r="D1225" s="185" t="s">
        <v>915</v>
      </c>
      <c r="E1225" s="185" t="s">
        <v>915</v>
      </c>
      <c r="F1225" s="185" t="s">
        <v>915</v>
      </c>
      <c r="G1225" s="185" t="s">
        <v>915</v>
      </c>
      <c r="H1225" s="185" t="s">
        <v>915</v>
      </c>
      <c r="I1225" s="186">
        <f>I1226</f>
        <v>775.2</v>
      </c>
      <c r="J1225" s="186">
        <f>J1226</f>
        <v>715.9</v>
      </c>
      <c r="K1225" s="186">
        <f>K1226</f>
        <v>715.9</v>
      </c>
      <c r="L1225" s="187">
        <f>L1226</f>
        <v>16</v>
      </c>
      <c r="M1225" s="185" t="s">
        <v>915</v>
      </c>
      <c r="N1225" s="185" t="s">
        <v>915</v>
      </c>
      <c r="O1225" s="188" t="s">
        <v>915</v>
      </c>
      <c r="P1225" s="189">
        <v>3396600</v>
      </c>
      <c r="Q1225" s="189">
        <f>Q1226</f>
        <v>0</v>
      </c>
      <c r="R1225" s="189">
        <f>R1226</f>
        <v>0</v>
      </c>
      <c r="S1225" s="189">
        <f>S1226</f>
        <v>3396600</v>
      </c>
      <c r="T1225" s="189">
        <f t="shared" si="191"/>
        <v>4381.5789473684208</v>
      </c>
      <c r="U1225" s="189">
        <f>U1226</f>
        <v>4486.2213622291019</v>
      </c>
      <c r="V1225" s="170">
        <f t="shared" si="195"/>
        <v>104.64241486068113</v>
      </c>
      <c r="W1225" s="170"/>
      <c r="X1225" s="170"/>
      <c r="Y1225" s="173" t="e">
        <f t="shared" si="196"/>
        <v>#N/A</v>
      </c>
      <c r="AA1225" s="173" t="e">
        <f t="shared" si="192"/>
        <v>#N/A</v>
      </c>
      <c r="AH1225" s="173" t="e">
        <f t="shared" si="193"/>
        <v>#N/A</v>
      </c>
      <c r="AS1225" s="173" t="e">
        <f t="shared" si="194"/>
        <v>#N/A</v>
      </c>
    </row>
    <row r="1226" spans="1:194" s="142" customFormat="1" ht="36" customHeight="1" x14ac:dyDescent="0.9">
      <c r="A1226" s="173">
        <v>1</v>
      </c>
      <c r="B1226" s="91">
        <f>SUBTOTAL(103,$A$957:A1226)</f>
        <v>213</v>
      </c>
      <c r="C1226" s="201" t="s">
        <v>226</v>
      </c>
      <c r="D1226" s="185">
        <v>1974</v>
      </c>
      <c r="E1226" s="185"/>
      <c r="F1226" s="203" t="s">
        <v>273</v>
      </c>
      <c r="G1226" s="185">
        <v>2</v>
      </c>
      <c r="H1226" s="185">
        <v>2</v>
      </c>
      <c r="I1226" s="186">
        <v>775.2</v>
      </c>
      <c r="J1226" s="186">
        <v>715.9</v>
      </c>
      <c r="K1226" s="186">
        <v>715.9</v>
      </c>
      <c r="L1226" s="202">
        <v>16</v>
      </c>
      <c r="M1226" s="185" t="s">
        <v>271</v>
      </c>
      <c r="N1226" s="185" t="s">
        <v>272</v>
      </c>
      <c r="O1226" s="185" t="s">
        <v>274</v>
      </c>
      <c r="P1226" s="186">
        <v>3396600</v>
      </c>
      <c r="Q1226" s="186">
        <v>0</v>
      </c>
      <c r="R1226" s="186">
        <v>0</v>
      </c>
      <c r="S1226" s="186">
        <f>P1226-Q1226-R1226</f>
        <v>3396600</v>
      </c>
      <c r="T1226" s="189">
        <f t="shared" si="191"/>
        <v>4381.5789473684208</v>
      </c>
      <c r="U1226" s="189">
        <f>Y1226</f>
        <v>4486.2213622291019</v>
      </c>
      <c r="V1226" s="170">
        <f t="shared" si="195"/>
        <v>104.64241486068113</v>
      </c>
      <c r="W1226" s="170"/>
      <c r="X1226" s="170"/>
      <c r="Y1226" s="173">
        <f t="shared" si="196"/>
        <v>4486.2213622291019</v>
      </c>
      <c r="AA1226" s="173">
        <f t="shared" si="192"/>
        <v>666</v>
      </c>
      <c r="AG1226" s="173" t="e">
        <f>AH1226*6191.24/J1226</f>
        <v>#N/A</v>
      </c>
      <c r="AH1226" s="173" t="e">
        <f t="shared" si="193"/>
        <v>#N/A</v>
      </c>
      <c r="AS1226" s="173" t="e">
        <f t="shared" si="194"/>
        <v>#N/A</v>
      </c>
      <c r="DT1226" s="144"/>
      <c r="DU1226" s="144"/>
      <c r="DV1226" s="144"/>
      <c r="EJ1226" s="145"/>
      <c r="ES1226" s="146"/>
      <c r="FV1226" s="147"/>
      <c r="GL1226" s="148"/>
    </row>
    <row r="1227" spans="1:194" s="142" customFormat="1" ht="84" customHeight="1" x14ac:dyDescent="0.45">
      <c r="B1227" s="252" t="s">
        <v>1718</v>
      </c>
      <c r="C1227" s="252"/>
      <c r="D1227" s="252"/>
      <c r="E1227" s="252"/>
      <c r="F1227" s="252"/>
      <c r="G1227" s="252"/>
      <c r="H1227" s="252"/>
      <c r="I1227" s="252"/>
      <c r="J1227" s="252"/>
      <c r="K1227" s="252"/>
      <c r="L1227" s="252"/>
      <c r="M1227" s="252"/>
      <c r="N1227" s="252"/>
      <c r="O1227" s="252"/>
      <c r="P1227" s="252"/>
      <c r="Q1227" s="252"/>
      <c r="R1227" s="252"/>
      <c r="S1227" s="252"/>
      <c r="T1227" s="252"/>
      <c r="U1227" s="252"/>
      <c r="EJ1227" s="143"/>
    </row>
    <row r="1228" spans="1:194" s="142" customFormat="1" ht="35.25" customHeight="1" x14ac:dyDescent="0.45">
      <c r="B1228" s="253" t="s">
        <v>1712</v>
      </c>
      <c r="C1228" s="254"/>
      <c r="D1228" s="196" t="s">
        <v>915</v>
      </c>
      <c r="E1228" s="196" t="s">
        <v>915</v>
      </c>
      <c r="F1228" s="200" t="s">
        <v>915</v>
      </c>
      <c r="G1228" s="196" t="s">
        <v>915</v>
      </c>
      <c r="H1228" s="196" t="s">
        <v>915</v>
      </c>
      <c r="I1228" s="198">
        <f t="shared" ref="I1228:L1228" si="199">I1229+I1233+I1231</f>
        <v>3182.5</v>
      </c>
      <c r="J1228" s="198">
        <f t="shared" si="199"/>
        <v>2963.5</v>
      </c>
      <c r="K1228" s="198">
        <f t="shared" si="199"/>
        <v>2844.3</v>
      </c>
      <c r="L1228" s="199">
        <f t="shared" si="199"/>
        <v>134</v>
      </c>
      <c r="M1228" s="196" t="s">
        <v>915</v>
      </c>
      <c r="N1228" s="196" t="s">
        <v>915</v>
      </c>
      <c r="O1228" s="196" t="s">
        <v>915</v>
      </c>
      <c r="P1228" s="186">
        <f>P1229+P1233+P1231</f>
        <v>8174681</v>
      </c>
      <c r="Q1228" s="186">
        <f t="shared" ref="Q1228:S1228" si="200">Q1229+Q1233+Q1231</f>
        <v>5508642.6599999992</v>
      </c>
      <c r="R1228" s="186">
        <f t="shared" si="200"/>
        <v>1409400</v>
      </c>
      <c r="S1228" s="186">
        <f t="shared" si="200"/>
        <v>1256638.3399999999</v>
      </c>
      <c r="T1228" s="189">
        <f t="shared" ref="T1228:T1233" si="201">P1228/I1228</f>
        <v>2568.6350353495682</v>
      </c>
      <c r="U1228" s="189">
        <f>MAX(U1229:U1234)</f>
        <v>5162.92</v>
      </c>
      <c r="EJ1228" s="143"/>
    </row>
    <row r="1229" spans="1:194" s="142" customFormat="1" ht="35.25" x14ac:dyDescent="0.5">
      <c r="B1229" s="90" t="s">
        <v>887</v>
      </c>
      <c r="C1229" s="201"/>
      <c r="D1229" s="196" t="s">
        <v>915</v>
      </c>
      <c r="E1229" s="196" t="s">
        <v>915</v>
      </c>
      <c r="F1229" s="200" t="s">
        <v>915</v>
      </c>
      <c r="G1229" s="196" t="s">
        <v>915</v>
      </c>
      <c r="H1229" s="196" t="s">
        <v>915</v>
      </c>
      <c r="I1229" s="198">
        <f>SUM(I1230:I1230)</f>
        <v>522.9</v>
      </c>
      <c r="J1229" s="198">
        <f>SUM(J1230:J1230)</f>
        <v>463.3</v>
      </c>
      <c r="K1229" s="198">
        <f>SUM(K1230:K1230)</f>
        <v>463.3</v>
      </c>
      <c r="L1229" s="199">
        <f>SUM(L1230:L1230)</f>
        <v>31</v>
      </c>
      <c r="M1229" s="196" t="s">
        <v>915</v>
      </c>
      <c r="N1229" s="196" t="s">
        <v>915</v>
      </c>
      <c r="O1229" s="196" t="s">
        <v>915</v>
      </c>
      <c r="P1229" s="186">
        <f>SUM(P1230:P1230)</f>
        <v>2094823</v>
      </c>
      <c r="Q1229" s="186">
        <f>SUM(Q1230:Q1230)</f>
        <v>1485566.66</v>
      </c>
      <c r="R1229" s="186">
        <f>SUM(R1230:R1230)</f>
        <v>392000</v>
      </c>
      <c r="S1229" s="186">
        <f>SUM(S1230:S1230)</f>
        <v>217256.34</v>
      </c>
      <c r="T1229" s="189">
        <f t="shared" si="201"/>
        <v>4006.1637024287629</v>
      </c>
      <c r="U1229" s="189">
        <f>MAX(U1230:U1230)</f>
        <v>5144.21</v>
      </c>
      <c r="DK1229" s="144"/>
      <c r="DL1229" s="144"/>
      <c r="DM1229" s="144"/>
      <c r="EA1229" s="145"/>
      <c r="EJ1229" s="146"/>
      <c r="FM1229" s="147"/>
      <c r="GC1229" s="148"/>
    </row>
    <row r="1230" spans="1:194" s="142" customFormat="1" ht="35.25" x14ac:dyDescent="0.25">
      <c r="B1230" s="204">
        <v>1</v>
      </c>
      <c r="C1230" s="201" t="s">
        <v>1711</v>
      </c>
      <c r="D1230" s="196">
        <v>1964</v>
      </c>
      <c r="E1230" s="196"/>
      <c r="F1230" s="200" t="s">
        <v>273</v>
      </c>
      <c r="G1230" s="196">
        <v>2</v>
      </c>
      <c r="H1230" s="196">
        <v>2</v>
      </c>
      <c r="I1230" s="198">
        <v>522.9</v>
      </c>
      <c r="J1230" s="198">
        <v>463.3</v>
      </c>
      <c r="K1230" s="198">
        <v>463.3</v>
      </c>
      <c r="L1230" s="199">
        <v>31</v>
      </c>
      <c r="M1230" s="196" t="s">
        <v>271</v>
      </c>
      <c r="N1230" s="196" t="s">
        <v>275</v>
      </c>
      <c r="O1230" s="185" t="s">
        <v>340</v>
      </c>
      <c r="P1230" s="186">
        <v>2094823</v>
      </c>
      <c r="Q1230" s="186">
        <v>1485566.66</v>
      </c>
      <c r="R1230" s="186">
        <v>392000</v>
      </c>
      <c r="S1230" s="186">
        <v>217256.34</v>
      </c>
      <c r="T1230" s="189">
        <f t="shared" si="201"/>
        <v>4006.1637024287629</v>
      </c>
      <c r="U1230" s="189">
        <v>5144.21</v>
      </c>
      <c r="DK1230" s="144"/>
      <c r="DL1230" s="144"/>
      <c r="DM1230" s="144"/>
      <c r="EA1230" s="145"/>
      <c r="EJ1230" s="146"/>
      <c r="FM1230" s="147"/>
      <c r="GC1230" s="148"/>
    </row>
    <row r="1231" spans="1:194" s="145" customFormat="1" ht="35.25" x14ac:dyDescent="0.25">
      <c r="B1231" s="95" t="s">
        <v>840</v>
      </c>
      <c r="C1231" s="201"/>
      <c r="D1231" s="196" t="s">
        <v>915</v>
      </c>
      <c r="E1231" s="196" t="s">
        <v>915</v>
      </c>
      <c r="F1231" s="200" t="s">
        <v>915</v>
      </c>
      <c r="G1231" s="196" t="s">
        <v>915</v>
      </c>
      <c r="H1231" s="196" t="s">
        <v>915</v>
      </c>
      <c r="I1231" s="198">
        <f>SUM(I1232:I1232)</f>
        <v>1826</v>
      </c>
      <c r="J1231" s="198">
        <f>SUM(J1232:J1232)</f>
        <v>1718</v>
      </c>
      <c r="K1231" s="198">
        <f>SUM(K1232:K1232)</f>
        <v>1598.8</v>
      </c>
      <c r="L1231" s="199">
        <f>SUM(L1232:L1232)</f>
        <v>73</v>
      </c>
      <c r="M1231" s="196" t="s">
        <v>915</v>
      </c>
      <c r="N1231" s="196" t="s">
        <v>915</v>
      </c>
      <c r="O1231" s="196" t="s">
        <v>915</v>
      </c>
      <c r="P1231" s="186">
        <f>SUM(P1232:P1232)</f>
        <v>2852270</v>
      </c>
      <c r="Q1231" s="186">
        <f>SUM(Q1232:Q1232)</f>
        <v>1758231.93</v>
      </c>
      <c r="R1231" s="186">
        <f>SUM(R1232:R1232)</f>
        <v>450000</v>
      </c>
      <c r="S1231" s="186">
        <f>SUM(S1232:S1232)</f>
        <v>644038.06999999995</v>
      </c>
      <c r="T1231" s="189">
        <f t="shared" ref="T1231" si="202">P1231/I1231</f>
        <v>1562.0317634173057</v>
      </c>
      <c r="U1231" s="189">
        <f>MAX(U1232:U1232)</f>
        <v>2061.35</v>
      </c>
      <c r="DK1231" s="144"/>
      <c r="DL1231" s="144"/>
      <c r="DM1231" s="144"/>
      <c r="EJ1231" s="146"/>
      <c r="FM1231" s="147"/>
      <c r="GC1231" s="148"/>
    </row>
    <row r="1232" spans="1:194" s="142" customFormat="1" ht="35.25" x14ac:dyDescent="0.25">
      <c r="B1232" s="204">
        <v>2</v>
      </c>
      <c r="C1232" s="201" t="s">
        <v>1737</v>
      </c>
      <c r="D1232" s="196">
        <v>1975</v>
      </c>
      <c r="E1232" s="196"/>
      <c r="F1232" s="200" t="s">
        <v>273</v>
      </c>
      <c r="G1232" s="196">
        <v>4</v>
      </c>
      <c r="H1232" s="196">
        <v>2</v>
      </c>
      <c r="I1232" s="198">
        <v>1826</v>
      </c>
      <c r="J1232" s="198">
        <v>1718</v>
      </c>
      <c r="K1232" s="198">
        <v>1598.8</v>
      </c>
      <c r="L1232" s="199">
        <v>73</v>
      </c>
      <c r="M1232" s="196" t="s">
        <v>271</v>
      </c>
      <c r="N1232" s="196" t="s">
        <v>349</v>
      </c>
      <c r="O1232" s="185" t="s">
        <v>1738</v>
      </c>
      <c r="P1232" s="186">
        <v>2852270</v>
      </c>
      <c r="Q1232" s="186">
        <v>1758231.93</v>
      </c>
      <c r="R1232" s="186">
        <v>450000</v>
      </c>
      <c r="S1232" s="186">
        <v>644038.06999999995</v>
      </c>
      <c r="T1232" s="189">
        <f>P1232/I1232</f>
        <v>1562.0317634173057</v>
      </c>
      <c r="U1232" s="189">
        <v>2061.35</v>
      </c>
      <c r="DK1232" s="144"/>
      <c r="DL1232" s="144"/>
      <c r="DM1232" s="144"/>
      <c r="EA1232" s="145"/>
      <c r="EJ1232" s="146"/>
      <c r="FM1232" s="147"/>
      <c r="GC1232" s="148"/>
    </row>
    <row r="1233" spans="2:185" s="145" customFormat="1" ht="35.25" x14ac:dyDescent="0.25">
      <c r="B1233" s="95" t="s">
        <v>911</v>
      </c>
      <c r="C1233" s="201"/>
      <c r="D1233" s="196" t="s">
        <v>915</v>
      </c>
      <c r="E1233" s="196" t="s">
        <v>915</v>
      </c>
      <c r="F1233" s="200" t="s">
        <v>915</v>
      </c>
      <c r="G1233" s="196" t="s">
        <v>915</v>
      </c>
      <c r="H1233" s="196" t="s">
        <v>915</v>
      </c>
      <c r="I1233" s="198">
        <f>SUM(I1234:I1234)</f>
        <v>833.6</v>
      </c>
      <c r="J1233" s="198">
        <f>SUM(J1234:J1234)</f>
        <v>782.2</v>
      </c>
      <c r="K1233" s="198">
        <f>SUM(K1234:K1234)</f>
        <v>782.2</v>
      </c>
      <c r="L1233" s="199">
        <f>SUM(L1234:L1234)</f>
        <v>30</v>
      </c>
      <c r="M1233" s="196" t="s">
        <v>915</v>
      </c>
      <c r="N1233" s="196" t="s">
        <v>915</v>
      </c>
      <c r="O1233" s="196" t="s">
        <v>915</v>
      </c>
      <c r="P1233" s="186">
        <f>SUM(P1234:P1234)</f>
        <v>3227588</v>
      </c>
      <c r="Q1233" s="186">
        <f>SUM(Q1234:Q1234)</f>
        <v>2264844.0699999998</v>
      </c>
      <c r="R1233" s="186">
        <f>SUM(R1234:R1234)</f>
        <v>567400</v>
      </c>
      <c r="S1233" s="186">
        <f>SUM(S1234:S1234)</f>
        <v>395343.93</v>
      </c>
      <c r="T1233" s="189">
        <f t="shared" si="201"/>
        <v>3871.8666026871401</v>
      </c>
      <c r="U1233" s="189">
        <f>MAX(U1234:U1234)</f>
        <v>5162.92</v>
      </c>
      <c r="DK1233" s="144"/>
      <c r="DL1233" s="144"/>
      <c r="DM1233" s="144"/>
      <c r="EJ1233" s="146"/>
      <c r="FM1233" s="147"/>
      <c r="GC1233" s="148"/>
    </row>
    <row r="1234" spans="2:185" s="142" customFormat="1" ht="35.25" x14ac:dyDescent="0.45">
      <c r="B1234" s="204">
        <v>3</v>
      </c>
      <c r="C1234" s="201" t="s">
        <v>3</v>
      </c>
      <c r="D1234" s="196">
        <v>1988</v>
      </c>
      <c r="E1234" s="196"/>
      <c r="F1234" s="200" t="s">
        <v>273</v>
      </c>
      <c r="G1234" s="196">
        <v>2</v>
      </c>
      <c r="H1234" s="196">
        <v>3</v>
      </c>
      <c r="I1234" s="198">
        <v>833.6</v>
      </c>
      <c r="J1234" s="198">
        <v>782.2</v>
      </c>
      <c r="K1234" s="198">
        <v>782.2</v>
      </c>
      <c r="L1234" s="199">
        <v>30</v>
      </c>
      <c r="M1234" s="196" t="s">
        <v>271</v>
      </c>
      <c r="N1234" s="185" t="s">
        <v>272</v>
      </c>
      <c r="O1234" s="185" t="s">
        <v>274</v>
      </c>
      <c r="P1234" s="186">
        <f>Q1234+R1234+S1234</f>
        <v>3227588</v>
      </c>
      <c r="Q1234" s="186">
        <v>2264844.0699999998</v>
      </c>
      <c r="R1234" s="186">
        <v>567400</v>
      </c>
      <c r="S1234" s="186">
        <v>395343.93</v>
      </c>
      <c r="T1234" s="189">
        <f>P1234/I1234</f>
        <v>3871.8666026871401</v>
      </c>
      <c r="U1234" s="189">
        <v>5162.92</v>
      </c>
      <c r="Y1234" s="229">
        <f>Реестр!M1241*5221.8/I1234</f>
        <v>5162.9169385796549</v>
      </c>
      <c r="DK1234" s="144"/>
      <c r="DL1234" s="144"/>
      <c r="DM1234" s="144"/>
      <c r="EA1234" s="145"/>
      <c r="EJ1234" s="146"/>
      <c r="FM1234" s="147"/>
      <c r="GC1234" s="148"/>
    </row>
    <row r="1235" spans="2:185" ht="61.5" x14ac:dyDescent="0.9">
      <c r="AS1235" s="64" t="e">
        <f t="shared" ref="AS1235:AS1298" si="203">VLOOKUP(C1235,AU:AV,2,FALSE)</f>
        <v>#N/A</v>
      </c>
    </row>
    <row r="1236" spans="2:185" ht="61.5" x14ac:dyDescent="0.9">
      <c r="AS1236" s="64" t="e">
        <f t="shared" si="203"/>
        <v>#N/A</v>
      </c>
    </row>
    <row r="1237" spans="2:185" ht="61.5" x14ac:dyDescent="0.9">
      <c r="AS1237" s="64" t="e">
        <f t="shared" si="203"/>
        <v>#N/A</v>
      </c>
    </row>
    <row r="1238" spans="2:185" ht="61.5" x14ac:dyDescent="0.9">
      <c r="AS1238" s="64" t="e">
        <f t="shared" si="203"/>
        <v>#N/A</v>
      </c>
    </row>
    <row r="1239" spans="2:185" ht="61.5" x14ac:dyDescent="0.9">
      <c r="AS1239" s="64" t="e">
        <f t="shared" si="203"/>
        <v>#N/A</v>
      </c>
    </row>
    <row r="1240" spans="2:185" ht="61.5" x14ac:dyDescent="0.9">
      <c r="AS1240" s="64" t="e">
        <f t="shared" si="203"/>
        <v>#N/A</v>
      </c>
    </row>
    <row r="1241" spans="2:185" ht="61.5" x14ac:dyDescent="0.9">
      <c r="AS1241" s="64" t="e">
        <f t="shared" si="203"/>
        <v>#N/A</v>
      </c>
    </row>
    <row r="1242" spans="2:185" ht="61.5" x14ac:dyDescent="0.9">
      <c r="AS1242" s="64" t="e">
        <f t="shared" si="203"/>
        <v>#N/A</v>
      </c>
    </row>
    <row r="1243" spans="2:185" ht="61.5" x14ac:dyDescent="0.9">
      <c r="AS1243" s="64" t="e">
        <f t="shared" si="203"/>
        <v>#N/A</v>
      </c>
    </row>
    <row r="1244" spans="2:185" ht="61.5" x14ac:dyDescent="0.9">
      <c r="AS1244" s="64" t="e">
        <f t="shared" si="203"/>
        <v>#N/A</v>
      </c>
    </row>
    <row r="1245" spans="2:185" ht="61.5" x14ac:dyDescent="0.9">
      <c r="AS1245" s="64" t="e">
        <f t="shared" si="203"/>
        <v>#N/A</v>
      </c>
    </row>
    <row r="1246" spans="2:185" ht="61.5" x14ac:dyDescent="0.9">
      <c r="AS1246" s="64" t="e">
        <f t="shared" si="203"/>
        <v>#N/A</v>
      </c>
    </row>
    <row r="1247" spans="2:185" ht="61.5" x14ac:dyDescent="0.9">
      <c r="AS1247" s="64" t="e">
        <f t="shared" si="203"/>
        <v>#N/A</v>
      </c>
    </row>
    <row r="1248" spans="2:185" ht="61.5" x14ac:dyDescent="0.9">
      <c r="AS1248" s="64" t="e">
        <f t="shared" si="203"/>
        <v>#N/A</v>
      </c>
    </row>
    <row r="1249" spans="45:45" ht="61.5" x14ac:dyDescent="0.9">
      <c r="AS1249" s="64" t="e">
        <f t="shared" si="203"/>
        <v>#N/A</v>
      </c>
    </row>
    <row r="1250" spans="45:45" ht="61.5" x14ac:dyDescent="0.9">
      <c r="AS1250" s="64" t="e">
        <f t="shared" si="203"/>
        <v>#N/A</v>
      </c>
    </row>
    <row r="1251" spans="45:45" ht="61.5" x14ac:dyDescent="0.9">
      <c r="AS1251" s="64" t="e">
        <f t="shared" si="203"/>
        <v>#N/A</v>
      </c>
    </row>
    <row r="1252" spans="45:45" ht="61.5" x14ac:dyDescent="0.9">
      <c r="AS1252" s="64" t="e">
        <f t="shared" si="203"/>
        <v>#N/A</v>
      </c>
    </row>
    <row r="1253" spans="45:45" ht="61.5" x14ac:dyDescent="0.9">
      <c r="AS1253" s="64" t="e">
        <f t="shared" si="203"/>
        <v>#N/A</v>
      </c>
    </row>
    <row r="1254" spans="45:45" ht="61.5" x14ac:dyDescent="0.9">
      <c r="AS1254" s="64" t="e">
        <f t="shared" si="203"/>
        <v>#N/A</v>
      </c>
    </row>
    <row r="1255" spans="45:45" ht="61.5" x14ac:dyDescent="0.9">
      <c r="AS1255" s="64" t="e">
        <f t="shared" si="203"/>
        <v>#N/A</v>
      </c>
    </row>
    <row r="1256" spans="45:45" ht="61.5" x14ac:dyDescent="0.9">
      <c r="AS1256" s="64" t="e">
        <f t="shared" si="203"/>
        <v>#N/A</v>
      </c>
    </row>
    <row r="1257" spans="45:45" ht="61.5" x14ac:dyDescent="0.9">
      <c r="AS1257" s="64" t="e">
        <f t="shared" si="203"/>
        <v>#N/A</v>
      </c>
    </row>
    <row r="1258" spans="45:45" ht="61.5" x14ac:dyDescent="0.9">
      <c r="AS1258" s="64" t="e">
        <f t="shared" si="203"/>
        <v>#N/A</v>
      </c>
    </row>
    <row r="1259" spans="45:45" ht="61.5" x14ac:dyDescent="0.9">
      <c r="AS1259" s="64" t="e">
        <f t="shared" si="203"/>
        <v>#N/A</v>
      </c>
    </row>
    <row r="1260" spans="45:45" ht="61.5" x14ac:dyDescent="0.9">
      <c r="AS1260" s="64" t="e">
        <f t="shared" si="203"/>
        <v>#N/A</v>
      </c>
    </row>
    <row r="1261" spans="45:45" ht="61.5" x14ac:dyDescent="0.9">
      <c r="AS1261" s="64" t="e">
        <f t="shared" si="203"/>
        <v>#N/A</v>
      </c>
    </row>
    <row r="1262" spans="45:45" ht="61.5" x14ac:dyDescent="0.9">
      <c r="AS1262" s="64" t="e">
        <f t="shared" si="203"/>
        <v>#N/A</v>
      </c>
    </row>
    <row r="1263" spans="45:45" ht="61.5" x14ac:dyDescent="0.9">
      <c r="AS1263" s="64" t="e">
        <f t="shared" si="203"/>
        <v>#N/A</v>
      </c>
    </row>
    <row r="1264" spans="45:45" ht="61.5" x14ac:dyDescent="0.9">
      <c r="AS1264" s="64" t="e">
        <f t="shared" si="203"/>
        <v>#N/A</v>
      </c>
    </row>
    <row r="1265" spans="45:45" ht="61.5" x14ac:dyDescent="0.9">
      <c r="AS1265" s="64" t="e">
        <f t="shared" si="203"/>
        <v>#N/A</v>
      </c>
    </row>
    <row r="1266" spans="45:45" ht="61.5" x14ac:dyDescent="0.9">
      <c r="AS1266" s="64" t="e">
        <f t="shared" si="203"/>
        <v>#N/A</v>
      </c>
    </row>
    <row r="1267" spans="45:45" ht="61.5" x14ac:dyDescent="0.9">
      <c r="AS1267" s="64" t="e">
        <f t="shared" si="203"/>
        <v>#N/A</v>
      </c>
    </row>
    <row r="1268" spans="45:45" ht="61.5" x14ac:dyDescent="0.9">
      <c r="AS1268" s="64" t="e">
        <f t="shared" si="203"/>
        <v>#N/A</v>
      </c>
    </row>
    <row r="1269" spans="45:45" ht="61.5" x14ac:dyDescent="0.9">
      <c r="AS1269" s="64" t="e">
        <f t="shared" si="203"/>
        <v>#N/A</v>
      </c>
    </row>
    <row r="1270" spans="45:45" ht="61.5" x14ac:dyDescent="0.9">
      <c r="AS1270" s="64" t="e">
        <f t="shared" si="203"/>
        <v>#N/A</v>
      </c>
    </row>
    <row r="1271" spans="45:45" ht="61.5" x14ac:dyDescent="0.9">
      <c r="AS1271" s="64" t="e">
        <f t="shared" si="203"/>
        <v>#N/A</v>
      </c>
    </row>
    <row r="1272" spans="45:45" ht="61.5" x14ac:dyDescent="0.9">
      <c r="AS1272" s="64" t="e">
        <f t="shared" si="203"/>
        <v>#N/A</v>
      </c>
    </row>
    <row r="1273" spans="45:45" ht="61.5" x14ac:dyDescent="0.9">
      <c r="AS1273" s="64" t="e">
        <f t="shared" si="203"/>
        <v>#N/A</v>
      </c>
    </row>
    <row r="1274" spans="45:45" ht="61.5" x14ac:dyDescent="0.9">
      <c r="AS1274" s="64" t="e">
        <f t="shared" si="203"/>
        <v>#N/A</v>
      </c>
    </row>
    <row r="1275" spans="45:45" ht="61.5" x14ac:dyDescent="0.9">
      <c r="AS1275" s="64" t="e">
        <f t="shared" si="203"/>
        <v>#N/A</v>
      </c>
    </row>
    <row r="1276" spans="45:45" ht="61.5" x14ac:dyDescent="0.9">
      <c r="AS1276" s="64" t="e">
        <f t="shared" si="203"/>
        <v>#N/A</v>
      </c>
    </row>
    <row r="1277" spans="45:45" ht="61.5" x14ac:dyDescent="0.9">
      <c r="AS1277" s="64" t="e">
        <f t="shared" si="203"/>
        <v>#N/A</v>
      </c>
    </row>
    <row r="1278" spans="45:45" ht="61.5" x14ac:dyDescent="0.9">
      <c r="AS1278" s="64" t="e">
        <f t="shared" si="203"/>
        <v>#N/A</v>
      </c>
    </row>
    <row r="1279" spans="45:45" ht="61.5" x14ac:dyDescent="0.9">
      <c r="AS1279" s="64" t="e">
        <f t="shared" si="203"/>
        <v>#N/A</v>
      </c>
    </row>
    <row r="1280" spans="45:45" ht="61.5" x14ac:dyDescent="0.9">
      <c r="AS1280" s="64" t="e">
        <f t="shared" si="203"/>
        <v>#N/A</v>
      </c>
    </row>
    <row r="1281" spans="45:45" ht="61.5" x14ac:dyDescent="0.9">
      <c r="AS1281" s="64" t="e">
        <f t="shared" si="203"/>
        <v>#N/A</v>
      </c>
    </row>
    <row r="1282" spans="45:45" ht="61.5" x14ac:dyDescent="0.9">
      <c r="AS1282" s="64" t="e">
        <f t="shared" si="203"/>
        <v>#N/A</v>
      </c>
    </row>
    <row r="1283" spans="45:45" ht="61.5" x14ac:dyDescent="0.9">
      <c r="AS1283" s="64" t="e">
        <f t="shared" si="203"/>
        <v>#N/A</v>
      </c>
    </row>
    <row r="1284" spans="45:45" ht="61.5" x14ac:dyDescent="0.9">
      <c r="AS1284" s="64" t="e">
        <f t="shared" si="203"/>
        <v>#N/A</v>
      </c>
    </row>
    <row r="1285" spans="45:45" ht="61.5" x14ac:dyDescent="0.9">
      <c r="AS1285" s="64" t="e">
        <f t="shared" si="203"/>
        <v>#N/A</v>
      </c>
    </row>
    <row r="1286" spans="45:45" ht="61.5" x14ac:dyDescent="0.9">
      <c r="AS1286" s="64" t="e">
        <f t="shared" si="203"/>
        <v>#N/A</v>
      </c>
    </row>
    <row r="1287" spans="45:45" ht="61.5" x14ac:dyDescent="0.9">
      <c r="AS1287" s="64" t="e">
        <f t="shared" si="203"/>
        <v>#N/A</v>
      </c>
    </row>
    <row r="1288" spans="45:45" ht="61.5" x14ac:dyDescent="0.9">
      <c r="AS1288" s="64" t="e">
        <f t="shared" si="203"/>
        <v>#N/A</v>
      </c>
    </row>
    <row r="1289" spans="45:45" ht="61.5" x14ac:dyDescent="0.9">
      <c r="AS1289" s="64" t="e">
        <f t="shared" si="203"/>
        <v>#N/A</v>
      </c>
    </row>
    <row r="1290" spans="45:45" ht="61.5" x14ac:dyDescent="0.9">
      <c r="AS1290" s="64" t="e">
        <f t="shared" si="203"/>
        <v>#N/A</v>
      </c>
    </row>
    <row r="1291" spans="45:45" ht="61.5" x14ac:dyDescent="0.9">
      <c r="AS1291" s="64" t="e">
        <f t="shared" si="203"/>
        <v>#N/A</v>
      </c>
    </row>
    <row r="1292" spans="45:45" ht="61.5" x14ac:dyDescent="0.9">
      <c r="AS1292" s="64" t="e">
        <f t="shared" si="203"/>
        <v>#N/A</v>
      </c>
    </row>
    <row r="1293" spans="45:45" ht="61.5" x14ac:dyDescent="0.9">
      <c r="AS1293" s="64" t="e">
        <f t="shared" si="203"/>
        <v>#N/A</v>
      </c>
    </row>
    <row r="1294" spans="45:45" ht="61.5" x14ac:dyDescent="0.9">
      <c r="AS1294" s="64" t="e">
        <f t="shared" si="203"/>
        <v>#N/A</v>
      </c>
    </row>
    <row r="1295" spans="45:45" ht="61.5" x14ac:dyDescent="0.9">
      <c r="AS1295" s="64" t="e">
        <f t="shared" si="203"/>
        <v>#N/A</v>
      </c>
    </row>
    <row r="1296" spans="45:45" ht="61.5" x14ac:dyDescent="0.9">
      <c r="AS1296" s="64" t="e">
        <f t="shared" si="203"/>
        <v>#N/A</v>
      </c>
    </row>
    <row r="1297" spans="45:45" ht="61.5" x14ac:dyDescent="0.9">
      <c r="AS1297" s="64" t="e">
        <f t="shared" si="203"/>
        <v>#N/A</v>
      </c>
    </row>
    <row r="1298" spans="45:45" ht="61.5" x14ac:dyDescent="0.9">
      <c r="AS1298" s="64" t="e">
        <f t="shared" si="203"/>
        <v>#N/A</v>
      </c>
    </row>
    <row r="1299" spans="45:45" ht="61.5" x14ac:dyDescent="0.9">
      <c r="AS1299" s="64" t="e">
        <f t="shared" ref="AS1299:AS1362" si="204">VLOOKUP(C1299,AU:AV,2,FALSE)</f>
        <v>#N/A</v>
      </c>
    </row>
    <row r="1300" spans="45:45" ht="61.5" x14ac:dyDescent="0.9">
      <c r="AS1300" s="64" t="e">
        <f t="shared" si="204"/>
        <v>#N/A</v>
      </c>
    </row>
    <row r="1301" spans="45:45" ht="61.5" x14ac:dyDescent="0.9">
      <c r="AS1301" s="64" t="e">
        <f t="shared" si="204"/>
        <v>#N/A</v>
      </c>
    </row>
    <row r="1302" spans="45:45" ht="61.5" x14ac:dyDescent="0.9">
      <c r="AS1302" s="64" t="e">
        <f t="shared" si="204"/>
        <v>#N/A</v>
      </c>
    </row>
    <row r="1303" spans="45:45" ht="61.5" x14ac:dyDescent="0.9">
      <c r="AS1303" s="64" t="e">
        <f t="shared" si="204"/>
        <v>#N/A</v>
      </c>
    </row>
    <row r="1304" spans="45:45" ht="61.5" x14ac:dyDescent="0.9">
      <c r="AS1304" s="64" t="e">
        <f t="shared" si="204"/>
        <v>#N/A</v>
      </c>
    </row>
    <row r="1305" spans="45:45" ht="61.5" x14ac:dyDescent="0.9">
      <c r="AS1305" s="64" t="e">
        <f t="shared" si="204"/>
        <v>#N/A</v>
      </c>
    </row>
    <row r="1306" spans="45:45" ht="61.5" x14ac:dyDescent="0.9">
      <c r="AS1306" s="64" t="e">
        <f t="shared" si="204"/>
        <v>#N/A</v>
      </c>
    </row>
    <row r="1307" spans="45:45" ht="61.5" x14ac:dyDescent="0.9">
      <c r="AS1307" s="64" t="e">
        <f t="shared" si="204"/>
        <v>#N/A</v>
      </c>
    </row>
    <row r="1308" spans="45:45" ht="61.5" x14ac:dyDescent="0.9">
      <c r="AS1308" s="64" t="e">
        <f t="shared" si="204"/>
        <v>#N/A</v>
      </c>
    </row>
    <row r="1309" spans="45:45" ht="61.5" x14ac:dyDescent="0.9">
      <c r="AS1309" s="64" t="e">
        <f t="shared" si="204"/>
        <v>#N/A</v>
      </c>
    </row>
    <row r="1310" spans="45:45" ht="61.5" x14ac:dyDescent="0.9">
      <c r="AS1310" s="64" t="e">
        <f t="shared" si="204"/>
        <v>#N/A</v>
      </c>
    </row>
    <row r="1311" spans="45:45" ht="61.5" x14ac:dyDescent="0.9">
      <c r="AS1311" s="64" t="e">
        <f t="shared" si="204"/>
        <v>#N/A</v>
      </c>
    </row>
    <row r="1312" spans="45:45" ht="61.5" x14ac:dyDescent="0.9">
      <c r="AS1312" s="64" t="e">
        <f t="shared" si="204"/>
        <v>#N/A</v>
      </c>
    </row>
    <row r="1313" spans="45:45" ht="61.5" x14ac:dyDescent="0.9">
      <c r="AS1313" s="64" t="e">
        <f t="shared" si="204"/>
        <v>#N/A</v>
      </c>
    </row>
    <row r="1314" spans="45:45" ht="61.5" x14ac:dyDescent="0.9">
      <c r="AS1314" s="64" t="e">
        <f t="shared" si="204"/>
        <v>#N/A</v>
      </c>
    </row>
    <row r="1315" spans="45:45" ht="61.5" x14ac:dyDescent="0.9">
      <c r="AS1315" s="64" t="e">
        <f t="shared" si="204"/>
        <v>#N/A</v>
      </c>
    </row>
    <row r="1316" spans="45:45" ht="61.5" x14ac:dyDescent="0.9">
      <c r="AS1316" s="64" t="e">
        <f t="shared" si="204"/>
        <v>#N/A</v>
      </c>
    </row>
    <row r="1317" spans="45:45" ht="61.5" x14ac:dyDescent="0.9">
      <c r="AS1317" s="64" t="e">
        <f t="shared" si="204"/>
        <v>#N/A</v>
      </c>
    </row>
    <row r="1318" spans="45:45" ht="61.5" x14ac:dyDescent="0.9">
      <c r="AS1318" s="64" t="e">
        <f t="shared" si="204"/>
        <v>#N/A</v>
      </c>
    </row>
    <row r="1319" spans="45:45" ht="61.5" x14ac:dyDescent="0.9">
      <c r="AS1319" s="64" t="e">
        <f t="shared" si="204"/>
        <v>#N/A</v>
      </c>
    </row>
    <row r="1320" spans="45:45" ht="61.5" x14ac:dyDescent="0.9">
      <c r="AS1320" s="64" t="e">
        <f t="shared" si="204"/>
        <v>#N/A</v>
      </c>
    </row>
    <row r="1321" spans="45:45" ht="61.5" x14ac:dyDescent="0.9">
      <c r="AS1321" s="64" t="e">
        <f t="shared" si="204"/>
        <v>#N/A</v>
      </c>
    </row>
    <row r="1322" spans="45:45" ht="61.5" x14ac:dyDescent="0.9">
      <c r="AS1322" s="64" t="e">
        <f t="shared" si="204"/>
        <v>#N/A</v>
      </c>
    </row>
    <row r="1323" spans="45:45" ht="61.5" x14ac:dyDescent="0.9">
      <c r="AS1323" s="64" t="e">
        <f t="shared" si="204"/>
        <v>#N/A</v>
      </c>
    </row>
    <row r="1324" spans="45:45" ht="61.5" x14ac:dyDescent="0.9">
      <c r="AS1324" s="64" t="e">
        <f t="shared" si="204"/>
        <v>#N/A</v>
      </c>
    </row>
    <row r="1325" spans="45:45" ht="61.5" x14ac:dyDescent="0.9">
      <c r="AS1325" s="64" t="e">
        <f t="shared" si="204"/>
        <v>#N/A</v>
      </c>
    </row>
    <row r="1326" spans="45:45" ht="61.5" x14ac:dyDescent="0.9">
      <c r="AS1326" s="64" t="e">
        <f t="shared" si="204"/>
        <v>#N/A</v>
      </c>
    </row>
    <row r="1327" spans="45:45" ht="61.5" x14ac:dyDescent="0.9">
      <c r="AS1327" s="64" t="e">
        <f t="shared" si="204"/>
        <v>#N/A</v>
      </c>
    </row>
    <row r="1328" spans="45:45" ht="61.5" x14ac:dyDescent="0.9">
      <c r="AS1328" s="64" t="e">
        <f t="shared" si="204"/>
        <v>#N/A</v>
      </c>
    </row>
    <row r="1329" spans="45:45" ht="61.5" x14ac:dyDescent="0.9">
      <c r="AS1329" s="64" t="e">
        <f t="shared" si="204"/>
        <v>#N/A</v>
      </c>
    </row>
    <row r="1330" spans="45:45" ht="61.5" x14ac:dyDescent="0.9">
      <c r="AS1330" s="64" t="e">
        <f t="shared" si="204"/>
        <v>#N/A</v>
      </c>
    </row>
    <row r="1331" spans="45:45" ht="61.5" x14ac:dyDescent="0.9">
      <c r="AS1331" s="64" t="e">
        <f t="shared" si="204"/>
        <v>#N/A</v>
      </c>
    </row>
    <row r="1332" spans="45:45" ht="61.5" x14ac:dyDescent="0.9">
      <c r="AS1332" s="64" t="e">
        <f t="shared" si="204"/>
        <v>#N/A</v>
      </c>
    </row>
    <row r="1333" spans="45:45" ht="61.5" x14ac:dyDescent="0.9">
      <c r="AS1333" s="64" t="e">
        <f t="shared" si="204"/>
        <v>#N/A</v>
      </c>
    </row>
    <row r="1334" spans="45:45" ht="61.5" x14ac:dyDescent="0.9">
      <c r="AS1334" s="64" t="e">
        <f t="shared" si="204"/>
        <v>#N/A</v>
      </c>
    </row>
    <row r="1335" spans="45:45" ht="61.5" x14ac:dyDescent="0.9">
      <c r="AS1335" s="64" t="e">
        <f t="shared" si="204"/>
        <v>#N/A</v>
      </c>
    </row>
    <row r="1336" spans="45:45" ht="61.5" x14ac:dyDescent="0.9">
      <c r="AS1336" s="64" t="e">
        <f t="shared" si="204"/>
        <v>#N/A</v>
      </c>
    </row>
    <row r="1337" spans="45:45" ht="61.5" x14ac:dyDescent="0.9">
      <c r="AS1337" s="64" t="e">
        <f t="shared" si="204"/>
        <v>#N/A</v>
      </c>
    </row>
    <row r="1338" spans="45:45" ht="61.5" x14ac:dyDescent="0.9">
      <c r="AS1338" s="64" t="e">
        <f t="shared" si="204"/>
        <v>#N/A</v>
      </c>
    </row>
    <row r="1339" spans="45:45" ht="61.5" x14ac:dyDescent="0.9">
      <c r="AS1339" s="64" t="e">
        <f t="shared" si="204"/>
        <v>#N/A</v>
      </c>
    </row>
    <row r="1340" spans="45:45" ht="61.5" x14ac:dyDescent="0.9">
      <c r="AS1340" s="64" t="e">
        <f t="shared" si="204"/>
        <v>#N/A</v>
      </c>
    </row>
    <row r="1341" spans="45:45" ht="61.5" x14ac:dyDescent="0.9">
      <c r="AS1341" s="64" t="e">
        <f t="shared" si="204"/>
        <v>#N/A</v>
      </c>
    </row>
    <row r="1342" spans="45:45" ht="61.5" x14ac:dyDescent="0.9">
      <c r="AS1342" s="64" t="e">
        <f t="shared" si="204"/>
        <v>#N/A</v>
      </c>
    </row>
    <row r="1343" spans="45:45" ht="61.5" x14ac:dyDescent="0.9">
      <c r="AS1343" s="64" t="e">
        <f t="shared" si="204"/>
        <v>#N/A</v>
      </c>
    </row>
    <row r="1344" spans="45:45" ht="61.5" x14ac:dyDescent="0.9">
      <c r="AS1344" s="64" t="e">
        <f t="shared" si="204"/>
        <v>#N/A</v>
      </c>
    </row>
    <row r="1345" spans="45:45" ht="61.5" x14ac:dyDescent="0.9">
      <c r="AS1345" s="64" t="e">
        <f t="shared" si="204"/>
        <v>#N/A</v>
      </c>
    </row>
    <row r="1346" spans="45:45" ht="61.5" x14ac:dyDescent="0.9">
      <c r="AS1346" s="64" t="e">
        <f t="shared" si="204"/>
        <v>#N/A</v>
      </c>
    </row>
    <row r="1347" spans="45:45" ht="61.5" x14ac:dyDescent="0.9">
      <c r="AS1347" s="64" t="e">
        <f t="shared" si="204"/>
        <v>#N/A</v>
      </c>
    </row>
    <row r="1348" spans="45:45" ht="61.5" x14ac:dyDescent="0.9">
      <c r="AS1348" s="64" t="e">
        <f t="shared" si="204"/>
        <v>#N/A</v>
      </c>
    </row>
    <row r="1349" spans="45:45" ht="61.5" x14ac:dyDescent="0.9">
      <c r="AS1349" s="64" t="e">
        <f t="shared" si="204"/>
        <v>#N/A</v>
      </c>
    </row>
    <row r="1350" spans="45:45" ht="61.5" x14ac:dyDescent="0.9">
      <c r="AS1350" s="64" t="e">
        <f t="shared" si="204"/>
        <v>#N/A</v>
      </c>
    </row>
    <row r="1351" spans="45:45" ht="61.5" x14ac:dyDescent="0.9">
      <c r="AS1351" s="64" t="e">
        <f t="shared" si="204"/>
        <v>#N/A</v>
      </c>
    </row>
    <row r="1352" spans="45:45" ht="61.5" x14ac:dyDescent="0.9">
      <c r="AS1352" s="64" t="e">
        <f t="shared" si="204"/>
        <v>#N/A</v>
      </c>
    </row>
    <row r="1353" spans="45:45" ht="61.5" x14ac:dyDescent="0.9">
      <c r="AS1353" s="64" t="e">
        <f t="shared" si="204"/>
        <v>#N/A</v>
      </c>
    </row>
    <row r="1354" spans="45:45" ht="61.5" x14ac:dyDescent="0.9">
      <c r="AS1354" s="64" t="e">
        <f t="shared" si="204"/>
        <v>#N/A</v>
      </c>
    </row>
    <row r="1355" spans="45:45" ht="61.5" x14ac:dyDescent="0.9">
      <c r="AS1355" s="64" t="e">
        <f t="shared" si="204"/>
        <v>#N/A</v>
      </c>
    </row>
    <row r="1356" spans="45:45" ht="61.5" x14ac:dyDescent="0.9">
      <c r="AS1356" s="64" t="e">
        <f t="shared" si="204"/>
        <v>#N/A</v>
      </c>
    </row>
    <row r="1357" spans="45:45" ht="61.5" x14ac:dyDescent="0.9">
      <c r="AS1357" s="64" t="e">
        <f t="shared" si="204"/>
        <v>#N/A</v>
      </c>
    </row>
    <row r="1358" spans="45:45" ht="61.5" x14ac:dyDescent="0.9">
      <c r="AS1358" s="64" t="e">
        <f t="shared" si="204"/>
        <v>#N/A</v>
      </c>
    </row>
    <row r="1359" spans="45:45" ht="61.5" x14ac:dyDescent="0.9">
      <c r="AS1359" s="64" t="e">
        <f t="shared" si="204"/>
        <v>#N/A</v>
      </c>
    </row>
    <row r="1360" spans="45:45" ht="61.5" x14ac:dyDescent="0.9">
      <c r="AS1360" s="64" t="e">
        <f t="shared" si="204"/>
        <v>#N/A</v>
      </c>
    </row>
    <row r="1361" spans="45:45" ht="61.5" x14ac:dyDescent="0.9">
      <c r="AS1361" s="64" t="e">
        <f t="shared" si="204"/>
        <v>#N/A</v>
      </c>
    </row>
    <row r="1362" spans="45:45" ht="61.5" x14ac:dyDescent="0.9">
      <c r="AS1362" s="64" t="e">
        <f t="shared" si="204"/>
        <v>#N/A</v>
      </c>
    </row>
    <row r="1363" spans="45:45" ht="61.5" x14ac:dyDescent="0.9">
      <c r="AS1363" s="64" t="e">
        <f t="shared" ref="AS1363:AS1426" si="205">VLOOKUP(C1363,AU:AV,2,FALSE)</f>
        <v>#N/A</v>
      </c>
    </row>
    <row r="1364" spans="45:45" ht="61.5" x14ac:dyDescent="0.9">
      <c r="AS1364" s="64" t="e">
        <f t="shared" si="205"/>
        <v>#N/A</v>
      </c>
    </row>
    <row r="1365" spans="45:45" ht="61.5" x14ac:dyDescent="0.9">
      <c r="AS1365" s="64" t="e">
        <f t="shared" si="205"/>
        <v>#N/A</v>
      </c>
    </row>
    <row r="1366" spans="45:45" ht="61.5" x14ac:dyDescent="0.9">
      <c r="AS1366" s="64" t="e">
        <f t="shared" si="205"/>
        <v>#N/A</v>
      </c>
    </row>
    <row r="1367" spans="45:45" ht="61.5" x14ac:dyDescent="0.9">
      <c r="AS1367" s="64" t="e">
        <f t="shared" si="205"/>
        <v>#N/A</v>
      </c>
    </row>
    <row r="1368" spans="45:45" ht="61.5" x14ac:dyDescent="0.9">
      <c r="AS1368" s="64" t="e">
        <f t="shared" si="205"/>
        <v>#N/A</v>
      </c>
    </row>
    <row r="1369" spans="45:45" ht="61.5" x14ac:dyDescent="0.9">
      <c r="AS1369" s="64" t="e">
        <f t="shared" si="205"/>
        <v>#N/A</v>
      </c>
    </row>
    <row r="1370" spans="45:45" ht="61.5" x14ac:dyDescent="0.9">
      <c r="AS1370" s="64" t="e">
        <f t="shared" si="205"/>
        <v>#N/A</v>
      </c>
    </row>
    <row r="1371" spans="45:45" ht="61.5" x14ac:dyDescent="0.9">
      <c r="AS1371" s="64" t="e">
        <f t="shared" si="205"/>
        <v>#N/A</v>
      </c>
    </row>
    <row r="1372" spans="45:45" ht="61.5" x14ac:dyDescent="0.9">
      <c r="AS1372" s="64" t="e">
        <f t="shared" si="205"/>
        <v>#N/A</v>
      </c>
    </row>
    <row r="1373" spans="45:45" ht="61.5" x14ac:dyDescent="0.9">
      <c r="AS1373" s="64" t="e">
        <f t="shared" si="205"/>
        <v>#N/A</v>
      </c>
    </row>
    <row r="1374" spans="45:45" ht="61.5" x14ac:dyDescent="0.9">
      <c r="AS1374" s="64" t="e">
        <f t="shared" si="205"/>
        <v>#N/A</v>
      </c>
    </row>
    <row r="1375" spans="45:45" ht="61.5" x14ac:dyDescent="0.9">
      <c r="AS1375" s="64" t="e">
        <f t="shared" si="205"/>
        <v>#N/A</v>
      </c>
    </row>
    <row r="1376" spans="45:45" ht="61.5" x14ac:dyDescent="0.9">
      <c r="AS1376" s="64" t="e">
        <f t="shared" si="205"/>
        <v>#N/A</v>
      </c>
    </row>
    <row r="1377" spans="45:45" ht="61.5" x14ac:dyDescent="0.9">
      <c r="AS1377" s="64" t="e">
        <f t="shared" si="205"/>
        <v>#N/A</v>
      </c>
    </row>
    <row r="1378" spans="45:45" ht="61.5" x14ac:dyDescent="0.9">
      <c r="AS1378" s="64" t="e">
        <f t="shared" si="205"/>
        <v>#N/A</v>
      </c>
    </row>
    <row r="1379" spans="45:45" ht="61.5" x14ac:dyDescent="0.9">
      <c r="AS1379" s="64" t="e">
        <f t="shared" si="205"/>
        <v>#N/A</v>
      </c>
    </row>
    <row r="1380" spans="45:45" ht="61.5" x14ac:dyDescent="0.9">
      <c r="AS1380" s="64" t="e">
        <f t="shared" si="205"/>
        <v>#N/A</v>
      </c>
    </row>
    <row r="1381" spans="45:45" ht="61.5" x14ac:dyDescent="0.9">
      <c r="AS1381" s="64" t="e">
        <f t="shared" si="205"/>
        <v>#N/A</v>
      </c>
    </row>
    <row r="1382" spans="45:45" ht="61.5" x14ac:dyDescent="0.9">
      <c r="AS1382" s="64" t="e">
        <f t="shared" si="205"/>
        <v>#N/A</v>
      </c>
    </row>
    <row r="1383" spans="45:45" ht="61.5" x14ac:dyDescent="0.9">
      <c r="AS1383" s="64" t="e">
        <f t="shared" si="205"/>
        <v>#N/A</v>
      </c>
    </row>
    <row r="1384" spans="45:45" ht="61.5" x14ac:dyDescent="0.9">
      <c r="AS1384" s="64" t="e">
        <f t="shared" si="205"/>
        <v>#N/A</v>
      </c>
    </row>
    <row r="1385" spans="45:45" ht="61.5" x14ac:dyDescent="0.9">
      <c r="AS1385" s="64" t="e">
        <f t="shared" si="205"/>
        <v>#N/A</v>
      </c>
    </row>
    <row r="1386" spans="45:45" ht="61.5" x14ac:dyDescent="0.9">
      <c r="AS1386" s="64" t="e">
        <f t="shared" si="205"/>
        <v>#N/A</v>
      </c>
    </row>
    <row r="1387" spans="45:45" ht="61.5" x14ac:dyDescent="0.9">
      <c r="AS1387" s="64" t="e">
        <f t="shared" si="205"/>
        <v>#N/A</v>
      </c>
    </row>
    <row r="1388" spans="45:45" ht="61.5" x14ac:dyDescent="0.9">
      <c r="AS1388" s="64" t="e">
        <f t="shared" si="205"/>
        <v>#N/A</v>
      </c>
    </row>
    <row r="1389" spans="45:45" ht="61.5" x14ac:dyDescent="0.9">
      <c r="AS1389" s="64" t="e">
        <f t="shared" si="205"/>
        <v>#N/A</v>
      </c>
    </row>
    <row r="1390" spans="45:45" ht="61.5" x14ac:dyDescent="0.9">
      <c r="AS1390" s="64" t="e">
        <f t="shared" si="205"/>
        <v>#N/A</v>
      </c>
    </row>
    <row r="1391" spans="45:45" ht="61.5" x14ac:dyDescent="0.9">
      <c r="AS1391" s="64" t="e">
        <f t="shared" si="205"/>
        <v>#N/A</v>
      </c>
    </row>
    <row r="1392" spans="45:45" ht="61.5" x14ac:dyDescent="0.9">
      <c r="AS1392" s="64" t="e">
        <f t="shared" si="205"/>
        <v>#N/A</v>
      </c>
    </row>
    <row r="1393" spans="45:45" ht="61.5" x14ac:dyDescent="0.9">
      <c r="AS1393" s="64" t="e">
        <f t="shared" si="205"/>
        <v>#N/A</v>
      </c>
    </row>
    <row r="1394" spans="45:45" ht="61.5" x14ac:dyDescent="0.9">
      <c r="AS1394" s="64" t="e">
        <f t="shared" si="205"/>
        <v>#N/A</v>
      </c>
    </row>
    <row r="1395" spans="45:45" ht="61.5" x14ac:dyDescent="0.9">
      <c r="AS1395" s="64" t="e">
        <f t="shared" si="205"/>
        <v>#N/A</v>
      </c>
    </row>
    <row r="1396" spans="45:45" ht="61.5" x14ac:dyDescent="0.9">
      <c r="AS1396" s="64" t="e">
        <f t="shared" si="205"/>
        <v>#N/A</v>
      </c>
    </row>
    <row r="1397" spans="45:45" ht="61.5" x14ac:dyDescent="0.9">
      <c r="AS1397" s="64" t="e">
        <f t="shared" si="205"/>
        <v>#N/A</v>
      </c>
    </row>
    <row r="1398" spans="45:45" ht="61.5" x14ac:dyDescent="0.9">
      <c r="AS1398" s="64" t="e">
        <f t="shared" si="205"/>
        <v>#N/A</v>
      </c>
    </row>
    <row r="1399" spans="45:45" ht="61.5" x14ac:dyDescent="0.9">
      <c r="AS1399" s="64" t="e">
        <f t="shared" si="205"/>
        <v>#N/A</v>
      </c>
    </row>
    <row r="1400" spans="45:45" ht="61.5" x14ac:dyDescent="0.9">
      <c r="AS1400" s="64" t="e">
        <f t="shared" si="205"/>
        <v>#N/A</v>
      </c>
    </row>
    <row r="1401" spans="45:45" ht="61.5" x14ac:dyDescent="0.9">
      <c r="AS1401" s="64" t="e">
        <f t="shared" si="205"/>
        <v>#N/A</v>
      </c>
    </row>
    <row r="1402" spans="45:45" ht="61.5" x14ac:dyDescent="0.9">
      <c r="AS1402" s="64" t="e">
        <f t="shared" si="205"/>
        <v>#N/A</v>
      </c>
    </row>
    <row r="1403" spans="45:45" ht="61.5" x14ac:dyDescent="0.9">
      <c r="AS1403" s="64" t="e">
        <f t="shared" si="205"/>
        <v>#N/A</v>
      </c>
    </row>
    <row r="1404" spans="45:45" ht="61.5" x14ac:dyDescent="0.9">
      <c r="AS1404" s="64" t="e">
        <f t="shared" si="205"/>
        <v>#N/A</v>
      </c>
    </row>
    <row r="1405" spans="45:45" ht="61.5" x14ac:dyDescent="0.9">
      <c r="AS1405" s="64" t="e">
        <f t="shared" si="205"/>
        <v>#N/A</v>
      </c>
    </row>
    <row r="1406" spans="45:45" ht="61.5" x14ac:dyDescent="0.9">
      <c r="AS1406" s="64" t="e">
        <f t="shared" si="205"/>
        <v>#N/A</v>
      </c>
    </row>
    <row r="1407" spans="45:45" ht="61.5" x14ac:dyDescent="0.9">
      <c r="AS1407" s="64" t="e">
        <f t="shared" si="205"/>
        <v>#N/A</v>
      </c>
    </row>
    <row r="1408" spans="45:45" ht="61.5" x14ac:dyDescent="0.9">
      <c r="AS1408" s="64" t="e">
        <f t="shared" si="205"/>
        <v>#N/A</v>
      </c>
    </row>
    <row r="1409" spans="45:45" ht="61.5" x14ac:dyDescent="0.9">
      <c r="AS1409" s="64" t="e">
        <f t="shared" si="205"/>
        <v>#N/A</v>
      </c>
    </row>
    <row r="1410" spans="45:45" ht="61.5" x14ac:dyDescent="0.9">
      <c r="AS1410" s="64" t="e">
        <f t="shared" si="205"/>
        <v>#N/A</v>
      </c>
    </row>
    <row r="1411" spans="45:45" ht="61.5" x14ac:dyDescent="0.9">
      <c r="AS1411" s="64" t="e">
        <f t="shared" si="205"/>
        <v>#N/A</v>
      </c>
    </row>
    <row r="1412" spans="45:45" ht="61.5" x14ac:dyDescent="0.9">
      <c r="AS1412" s="64" t="e">
        <f t="shared" si="205"/>
        <v>#N/A</v>
      </c>
    </row>
    <row r="1413" spans="45:45" ht="61.5" x14ac:dyDescent="0.9">
      <c r="AS1413" s="64" t="e">
        <f t="shared" si="205"/>
        <v>#N/A</v>
      </c>
    </row>
    <row r="1414" spans="45:45" ht="61.5" x14ac:dyDescent="0.9">
      <c r="AS1414" s="64" t="e">
        <f t="shared" si="205"/>
        <v>#N/A</v>
      </c>
    </row>
    <row r="1415" spans="45:45" ht="61.5" x14ac:dyDescent="0.9">
      <c r="AS1415" s="64" t="e">
        <f t="shared" si="205"/>
        <v>#N/A</v>
      </c>
    </row>
    <row r="1416" spans="45:45" ht="61.5" x14ac:dyDescent="0.9">
      <c r="AS1416" s="64" t="e">
        <f t="shared" si="205"/>
        <v>#N/A</v>
      </c>
    </row>
    <row r="1417" spans="45:45" ht="61.5" x14ac:dyDescent="0.9">
      <c r="AS1417" s="64" t="e">
        <f t="shared" si="205"/>
        <v>#N/A</v>
      </c>
    </row>
    <row r="1418" spans="45:45" ht="61.5" x14ac:dyDescent="0.9">
      <c r="AS1418" s="64" t="e">
        <f t="shared" si="205"/>
        <v>#N/A</v>
      </c>
    </row>
    <row r="1419" spans="45:45" ht="61.5" x14ac:dyDescent="0.9">
      <c r="AS1419" s="64" t="e">
        <f t="shared" si="205"/>
        <v>#N/A</v>
      </c>
    </row>
    <row r="1420" spans="45:45" ht="61.5" x14ac:dyDescent="0.9">
      <c r="AS1420" s="64" t="e">
        <f t="shared" si="205"/>
        <v>#N/A</v>
      </c>
    </row>
    <row r="1421" spans="45:45" ht="61.5" x14ac:dyDescent="0.9">
      <c r="AS1421" s="64" t="e">
        <f t="shared" si="205"/>
        <v>#N/A</v>
      </c>
    </row>
    <row r="1422" spans="45:45" ht="61.5" x14ac:dyDescent="0.9">
      <c r="AS1422" s="64" t="e">
        <f t="shared" si="205"/>
        <v>#N/A</v>
      </c>
    </row>
    <row r="1423" spans="45:45" ht="61.5" x14ac:dyDescent="0.9">
      <c r="AS1423" s="64" t="e">
        <f t="shared" si="205"/>
        <v>#N/A</v>
      </c>
    </row>
    <row r="1424" spans="45:45" ht="61.5" x14ac:dyDescent="0.9">
      <c r="AS1424" s="64" t="e">
        <f t="shared" si="205"/>
        <v>#N/A</v>
      </c>
    </row>
    <row r="1425" spans="45:45" ht="61.5" x14ac:dyDescent="0.9">
      <c r="AS1425" s="64" t="e">
        <f t="shared" si="205"/>
        <v>#N/A</v>
      </c>
    </row>
    <row r="1426" spans="45:45" ht="61.5" x14ac:dyDescent="0.9">
      <c r="AS1426" s="64" t="e">
        <f t="shared" si="205"/>
        <v>#N/A</v>
      </c>
    </row>
    <row r="1427" spans="45:45" ht="61.5" x14ac:dyDescent="0.9">
      <c r="AS1427" s="64" t="e">
        <f t="shared" ref="AS1427:AS1490" si="206">VLOOKUP(C1427,AU:AV,2,FALSE)</f>
        <v>#N/A</v>
      </c>
    </row>
    <row r="1428" spans="45:45" ht="61.5" x14ac:dyDescent="0.9">
      <c r="AS1428" s="64" t="e">
        <f t="shared" si="206"/>
        <v>#N/A</v>
      </c>
    </row>
    <row r="1429" spans="45:45" ht="61.5" x14ac:dyDescent="0.9">
      <c r="AS1429" s="64" t="e">
        <f t="shared" si="206"/>
        <v>#N/A</v>
      </c>
    </row>
    <row r="1430" spans="45:45" ht="61.5" x14ac:dyDescent="0.9">
      <c r="AS1430" s="64" t="e">
        <f t="shared" si="206"/>
        <v>#N/A</v>
      </c>
    </row>
    <row r="1431" spans="45:45" ht="61.5" x14ac:dyDescent="0.9">
      <c r="AS1431" s="64" t="e">
        <f t="shared" si="206"/>
        <v>#N/A</v>
      </c>
    </row>
    <row r="1432" spans="45:45" ht="61.5" x14ac:dyDescent="0.9">
      <c r="AS1432" s="64" t="e">
        <f t="shared" si="206"/>
        <v>#N/A</v>
      </c>
    </row>
    <row r="1433" spans="45:45" ht="61.5" x14ac:dyDescent="0.9">
      <c r="AS1433" s="64" t="e">
        <f t="shared" si="206"/>
        <v>#N/A</v>
      </c>
    </row>
    <row r="1434" spans="45:45" ht="61.5" x14ac:dyDescent="0.9">
      <c r="AS1434" s="64" t="e">
        <f t="shared" si="206"/>
        <v>#N/A</v>
      </c>
    </row>
    <row r="1435" spans="45:45" ht="61.5" x14ac:dyDescent="0.9">
      <c r="AS1435" s="64" t="e">
        <f t="shared" si="206"/>
        <v>#N/A</v>
      </c>
    </row>
    <row r="1436" spans="45:45" ht="61.5" x14ac:dyDescent="0.9">
      <c r="AS1436" s="64" t="e">
        <f t="shared" si="206"/>
        <v>#N/A</v>
      </c>
    </row>
    <row r="1437" spans="45:45" ht="61.5" x14ac:dyDescent="0.9">
      <c r="AS1437" s="64" t="e">
        <f t="shared" si="206"/>
        <v>#N/A</v>
      </c>
    </row>
    <row r="1438" spans="45:45" ht="61.5" x14ac:dyDescent="0.9">
      <c r="AS1438" s="64" t="e">
        <f t="shared" si="206"/>
        <v>#N/A</v>
      </c>
    </row>
    <row r="1439" spans="45:45" ht="61.5" x14ac:dyDescent="0.9">
      <c r="AS1439" s="64" t="e">
        <f t="shared" si="206"/>
        <v>#N/A</v>
      </c>
    </row>
    <row r="1440" spans="45:45" ht="61.5" x14ac:dyDescent="0.9">
      <c r="AS1440" s="64" t="e">
        <f t="shared" si="206"/>
        <v>#N/A</v>
      </c>
    </row>
    <row r="1441" spans="45:45" ht="61.5" x14ac:dyDescent="0.9">
      <c r="AS1441" s="64" t="e">
        <f t="shared" si="206"/>
        <v>#N/A</v>
      </c>
    </row>
    <row r="1442" spans="45:45" ht="61.5" x14ac:dyDescent="0.9">
      <c r="AS1442" s="64" t="e">
        <f t="shared" si="206"/>
        <v>#N/A</v>
      </c>
    </row>
    <row r="1443" spans="45:45" ht="61.5" x14ac:dyDescent="0.9">
      <c r="AS1443" s="64" t="e">
        <f t="shared" si="206"/>
        <v>#N/A</v>
      </c>
    </row>
    <row r="1444" spans="45:45" ht="61.5" x14ac:dyDescent="0.9">
      <c r="AS1444" s="64" t="e">
        <f t="shared" si="206"/>
        <v>#N/A</v>
      </c>
    </row>
    <row r="1445" spans="45:45" ht="61.5" x14ac:dyDescent="0.9">
      <c r="AS1445" s="64" t="e">
        <f t="shared" si="206"/>
        <v>#N/A</v>
      </c>
    </row>
    <row r="1446" spans="45:45" ht="61.5" x14ac:dyDescent="0.9">
      <c r="AS1446" s="64" t="e">
        <f t="shared" si="206"/>
        <v>#N/A</v>
      </c>
    </row>
    <row r="1447" spans="45:45" ht="61.5" x14ac:dyDescent="0.9">
      <c r="AS1447" s="64" t="e">
        <f t="shared" si="206"/>
        <v>#N/A</v>
      </c>
    </row>
    <row r="1448" spans="45:45" ht="61.5" x14ac:dyDescent="0.9">
      <c r="AS1448" s="64" t="e">
        <f t="shared" si="206"/>
        <v>#N/A</v>
      </c>
    </row>
    <row r="1449" spans="45:45" ht="61.5" x14ac:dyDescent="0.9">
      <c r="AS1449" s="64" t="e">
        <f t="shared" si="206"/>
        <v>#N/A</v>
      </c>
    </row>
    <row r="1450" spans="45:45" ht="61.5" x14ac:dyDescent="0.9">
      <c r="AS1450" s="64" t="e">
        <f t="shared" si="206"/>
        <v>#N/A</v>
      </c>
    </row>
    <row r="1451" spans="45:45" ht="61.5" x14ac:dyDescent="0.9">
      <c r="AS1451" s="64" t="e">
        <f t="shared" si="206"/>
        <v>#N/A</v>
      </c>
    </row>
    <row r="1452" spans="45:45" ht="61.5" x14ac:dyDescent="0.9">
      <c r="AS1452" s="64" t="e">
        <f t="shared" si="206"/>
        <v>#N/A</v>
      </c>
    </row>
    <row r="1453" spans="45:45" ht="61.5" x14ac:dyDescent="0.9">
      <c r="AS1453" s="64" t="e">
        <f t="shared" si="206"/>
        <v>#N/A</v>
      </c>
    </row>
    <row r="1454" spans="45:45" ht="61.5" x14ac:dyDescent="0.9">
      <c r="AS1454" s="64" t="e">
        <f t="shared" si="206"/>
        <v>#N/A</v>
      </c>
    </row>
    <row r="1455" spans="45:45" ht="61.5" x14ac:dyDescent="0.9">
      <c r="AS1455" s="64" t="e">
        <f t="shared" si="206"/>
        <v>#N/A</v>
      </c>
    </row>
    <row r="1456" spans="45:45" ht="61.5" x14ac:dyDescent="0.9">
      <c r="AS1456" s="64" t="e">
        <f t="shared" si="206"/>
        <v>#N/A</v>
      </c>
    </row>
    <row r="1457" spans="45:45" ht="61.5" x14ac:dyDescent="0.9">
      <c r="AS1457" s="64" t="e">
        <f t="shared" si="206"/>
        <v>#N/A</v>
      </c>
    </row>
    <row r="1458" spans="45:45" ht="61.5" x14ac:dyDescent="0.9">
      <c r="AS1458" s="64" t="e">
        <f t="shared" si="206"/>
        <v>#N/A</v>
      </c>
    </row>
    <row r="1459" spans="45:45" ht="61.5" x14ac:dyDescent="0.9">
      <c r="AS1459" s="64" t="e">
        <f t="shared" si="206"/>
        <v>#N/A</v>
      </c>
    </row>
    <row r="1460" spans="45:45" ht="61.5" x14ac:dyDescent="0.9">
      <c r="AS1460" s="64" t="e">
        <f t="shared" si="206"/>
        <v>#N/A</v>
      </c>
    </row>
    <row r="1461" spans="45:45" ht="61.5" x14ac:dyDescent="0.9">
      <c r="AS1461" s="64" t="e">
        <f t="shared" si="206"/>
        <v>#N/A</v>
      </c>
    </row>
    <row r="1462" spans="45:45" ht="61.5" x14ac:dyDescent="0.9">
      <c r="AS1462" s="64" t="e">
        <f t="shared" si="206"/>
        <v>#N/A</v>
      </c>
    </row>
    <row r="1463" spans="45:45" ht="61.5" x14ac:dyDescent="0.9">
      <c r="AS1463" s="64" t="e">
        <f t="shared" si="206"/>
        <v>#N/A</v>
      </c>
    </row>
    <row r="1464" spans="45:45" ht="61.5" x14ac:dyDescent="0.9">
      <c r="AS1464" s="64" t="e">
        <f t="shared" si="206"/>
        <v>#N/A</v>
      </c>
    </row>
    <row r="1465" spans="45:45" ht="61.5" x14ac:dyDescent="0.9">
      <c r="AS1465" s="64" t="e">
        <f t="shared" si="206"/>
        <v>#N/A</v>
      </c>
    </row>
    <row r="1466" spans="45:45" ht="61.5" x14ac:dyDescent="0.9">
      <c r="AS1466" s="64" t="e">
        <f t="shared" si="206"/>
        <v>#N/A</v>
      </c>
    </row>
    <row r="1467" spans="45:45" ht="61.5" x14ac:dyDescent="0.9">
      <c r="AS1467" s="64" t="e">
        <f t="shared" si="206"/>
        <v>#N/A</v>
      </c>
    </row>
    <row r="1468" spans="45:45" ht="61.5" x14ac:dyDescent="0.9">
      <c r="AS1468" s="64" t="e">
        <f t="shared" si="206"/>
        <v>#N/A</v>
      </c>
    </row>
    <row r="1469" spans="45:45" ht="61.5" x14ac:dyDescent="0.9">
      <c r="AS1469" s="64" t="e">
        <f t="shared" si="206"/>
        <v>#N/A</v>
      </c>
    </row>
    <row r="1470" spans="45:45" ht="61.5" x14ac:dyDescent="0.9">
      <c r="AS1470" s="64" t="e">
        <f t="shared" si="206"/>
        <v>#N/A</v>
      </c>
    </row>
    <row r="1471" spans="45:45" ht="61.5" x14ac:dyDescent="0.9">
      <c r="AS1471" s="64" t="e">
        <f t="shared" si="206"/>
        <v>#N/A</v>
      </c>
    </row>
    <row r="1472" spans="45:45" ht="61.5" x14ac:dyDescent="0.9">
      <c r="AS1472" s="64" t="e">
        <f t="shared" si="206"/>
        <v>#N/A</v>
      </c>
    </row>
    <row r="1473" spans="45:45" ht="61.5" x14ac:dyDescent="0.9">
      <c r="AS1473" s="64" t="e">
        <f t="shared" si="206"/>
        <v>#N/A</v>
      </c>
    </row>
    <row r="1474" spans="45:45" ht="61.5" x14ac:dyDescent="0.9">
      <c r="AS1474" s="64" t="e">
        <f t="shared" si="206"/>
        <v>#N/A</v>
      </c>
    </row>
    <row r="1475" spans="45:45" ht="61.5" x14ac:dyDescent="0.9">
      <c r="AS1475" s="64" t="e">
        <f t="shared" si="206"/>
        <v>#N/A</v>
      </c>
    </row>
    <row r="1476" spans="45:45" ht="61.5" x14ac:dyDescent="0.9">
      <c r="AS1476" s="64" t="e">
        <f t="shared" si="206"/>
        <v>#N/A</v>
      </c>
    </row>
    <row r="1477" spans="45:45" ht="61.5" x14ac:dyDescent="0.9">
      <c r="AS1477" s="64" t="e">
        <f t="shared" si="206"/>
        <v>#N/A</v>
      </c>
    </row>
    <row r="1478" spans="45:45" ht="61.5" x14ac:dyDescent="0.9">
      <c r="AS1478" s="64" t="e">
        <f t="shared" si="206"/>
        <v>#N/A</v>
      </c>
    </row>
    <row r="1479" spans="45:45" ht="61.5" x14ac:dyDescent="0.9">
      <c r="AS1479" s="64" t="e">
        <f t="shared" si="206"/>
        <v>#N/A</v>
      </c>
    </row>
    <row r="1480" spans="45:45" ht="61.5" x14ac:dyDescent="0.9">
      <c r="AS1480" s="64" t="e">
        <f t="shared" si="206"/>
        <v>#N/A</v>
      </c>
    </row>
    <row r="1481" spans="45:45" ht="61.5" x14ac:dyDescent="0.9">
      <c r="AS1481" s="64" t="e">
        <f t="shared" si="206"/>
        <v>#N/A</v>
      </c>
    </row>
    <row r="1482" spans="45:45" ht="61.5" x14ac:dyDescent="0.9">
      <c r="AS1482" s="64" t="e">
        <f t="shared" si="206"/>
        <v>#N/A</v>
      </c>
    </row>
    <row r="1483" spans="45:45" ht="61.5" x14ac:dyDescent="0.9">
      <c r="AS1483" s="64" t="e">
        <f t="shared" si="206"/>
        <v>#N/A</v>
      </c>
    </row>
    <row r="1484" spans="45:45" ht="61.5" x14ac:dyDescent="0.9">
      <c r="AS1484" s="64" t="e">
        <f t="shared" si="206"/>
        <v>#N/A</v>
      </c>
    </row>
    <row r="1485" spans="45:45" ht="61.5" x14ac:dyDescent="0.9">
      <c r="AS1485" s="64" t="e">
        <f t="shared" si="206"/>
        <v>#N/A</v>
      </c>
    </row>
    <row r="1486" spans="45:45" ht="61.5" x14ac:dyDescent="0.9">
      <c r="AS1486" s="64" t="e">
        <f t="shared" si="206"/>
        <v>#N/A</v>
      </c>
    </row>
    <row r="1487" spans="45:45" ht="61.5" x14ac:dyDescent="0.9">
      <c r="AS1487" s="64" t="e">
        <f t="shared" si="206"/>
        <v>#N/A</v>
      </c>
    </row>
    <row r="1488" spans="45:45" ht="61.5" x14ac:dyDescent="0.9">
      <c r="AS1488" s="64" t="e">
        <f t="shared" si="206"/>
        <v>#N/A</v>
      </c>
    </row>
    <row r="1489" spans="45:45" ht="61.5" x14ac:dyDescent="0.9">
      <c r="AS1489" s="64" t="e">
        <f t="shared" si="206"/>
        <v>#N/A</v>
      </c>
    </row>
    <row r="1490" spans="45:45" ht="61.5" x14ac:dyDescent="0.9">
      <c r="AS1490" s="64" t="e">
        <f t="shared" si="206"/>
        <v>#N/A</v>
      </c>
    </row>
    <row r="1491" spans="45:45" ht="61.5" x14ac:dyDescent="0.9">
      <c r="AS1491" s="64" t="e">
        <f t="shared" ref="AS1491:AS1554" si="207">VLOOKUP(C1491,AU:AV,2,FALSE)</f>
        <v>#N/A</v>
      </c>
    </row>
    <row r="1492" spans="45:45" ht="61.5" x14ac:dyDescent="0.9">
      <c r="AS1492" s="64" t="e">
        <f t="shared" si="207"/>
        <v>#N/A</v>
      </c>
    </row>
    <row r="1493" spans="45:45" ht="61.5" x14ac:dyDescent="0.9">
      <c r="AS1493" s="64" t="e">
        <f t="shared" si="207"/>
        <v>#N/A</v>
      </c>
    </row>
    <row r="1494" spans="45:45" ht="61.5" x14ac:dyDescent="0.9">
      <c r="AS1494" s="64" t="e">
        <f t="shared" si="207"/>
        <v>#N/A</v>
      </c>
    </row>
    <row r="1495" spans="45:45" ht="61.5" x14ac:dyDescent="0.9">
      <c r="AS1495" s="64" t="e">
        <f t="shared" si="207"/>
        <v>#N/A</v>
      </c>
    </row>
    <row r="1496" spans="45:45" ht="61.5" x14ac:dyDescent="0.9">
      <c r="AS1496" s="64" t="e">
        <f t="shared" si="207"/>
        <v>#N/A</v>
      </c>
    </row>
    <row r="1497" spans="45:45" ht="61.5" x14ac:dyDescent="0.9">
      <c r="AS1497" s="64" t="e">
        <f t="shared" si="207"/>
        <v>#N/A</v>
      </c>
    </row>
    <row r="1498" spans="45:45" ht="61.5" x14ac:dyDescent="0.9">
      <c r="AS1498" s="64" t="e">
        <f t="shared" si="207"/>
        <v>#N/A</v>
      </c>
    </row>
    <row r="1499" spans="45:45" ht="61.5" x14ac:dyDescent="0.9">
      <c r="AS1499" s="64" t="e">
        <f t="shared" si="207"/>
        <v>#N/A</v>
      </c>
    </row>
    <row r="1500" spans="45:45" ht="61.5" x14ac:dyDescent="0.9">
      <c r="AS1500" s="64" t="e">
        <f t="shared" si="207"/>
        <v>#N/A</v>
      </c>
    </row>
    <row r="1501" spans="45:45" ht="61.5" x14ac:dyDescent="0.9">
      <c r="AS1501" s="64" t="e">
        <f t="shared" si="207"/>
        <v>#N/A</v>
      </c>
    </row>
    <row r="1502" spans="45:45" ht="61.5" x14ac:dyDescent="0.9">
      <c r="AS1502" s="64" t="e">
        <f t="shared" si="207"/>
        <v>#N/A</v>
      </c>
    </row>
    <row r="1503" spans="45:45" ht="61.5" x14ac:dyDescent="0.9">
      <c r="AS1503" s="64" t="e">
        <f t="shared" si="207"/>
        <v>#N/A</v>
      </c>
    </row>
    <row r="1504" spans="45:45" ht="61.5" x14ac:dyDescent="0.9">
      <c r="AS1504" s="64" t="e">
        <f t="shared" si="207"/>
        <v>#N/A</v>
      </c>
    </row>
    <row r="1505" spans="45:45" ht="61.5" x14ac:dyDescent="0.9">
      <c r="AS1505" s="64" t="e">
        <f t="shared" si="207"/>
        <v>#N/A</v>
      </c>
    </row>
    <row r="1506" spans="45:45" ht="61.5" x14ac:dyDescent="0.9">
      <c r="AS1506" s="64" t="e">
        <f t="shared" si="207"/>
        <v>#N/A</v>
      </c>
    </row>
    <row r="1507" spans="45:45" ht="61.5" x14ac:dyDescent="0.9">
      <c r="AS1507" s="64" t="e">
        <f t="shared" si="207"/>
        <v>#N/A</v>
      </c>
    </row>
    <row r="1508" spans="45:45" ht="61.5" x14ac:dyDescent="0.9">
      <c r="AS1508" s="64" t="e">
        <f t="shared" si="207"/>
        <v>#N/A</v>
      </c>
    </row>
    <row r="1509" spans="45:45" ht="61.5" x14ac:dyDescent="0.9">
      <c r="AS1509" s="64" t="e">
        <f t="shared" si="207"/>
        <v>#N/A</v>
      </c>
    </row>
    <row r="1510" spans="45:45" ht="61.5" x14ac:dyDescent="0.9">
      <c r="AS1510" s="64" t="e">
        <f t="shared" si="207"/>
        <v>#N/A</v>
      </c>
    </row>
    <row r="1511" spans="45:45" ht="61.5" x14ac:dyDescent="0.9">
      <c r="AS1511" s="64" t="e">
        <f t="shared" si="207"/>
        <v>#N/A</v>
      </c>
    </row>
    <row r="1512" spans="45:45" ht="61.5" x14ac:dyDescent="0.9">
      <c r="AS1512" s="64" t="e">
        <f t="shared" si="207"/>
        <v>#N/A</v>
      </c>
    </row>
    <row r="1513" spans="45:45" ht="61.5" x14ac:dyDescent="0.9">
      <c r="AS1513" s="64" t="e">
        <f t="shared" si="207"/>
        <v>#N/A</v>
      </c>
    </row>
    <row r="1514" spans="45:45" ht="61.5" x14ac:dyDescent="0.9">
      <c r="AS1514" s="64" t="e">
        <f t="shared" si="207"/>
        <v>#N/A</v>
      </c>
    </row>
    <row r="1515" spans="45:45" ht="61.5" x14ac:dyDescent="0.9">
      <c r="AS1515" s="64" t="e">
        <f t="shared" si="207"/>
        <v>#N/A</v>
      </c>
    </row>
    <row r="1516" spans="45:45" ht="61.5" x14ac:dyDescent="0.9">
      <c r="AS1516" s="64" t="e">
        <f t="shared" si="207"/>
        <v>#N/A</v>
      </c>
    </row>
    <row r="1517" spans="45:45" ht="61.5" x14ac:dyDescent="0.9">
      <c r="AS1517" s="64" t="e">
        <f t="shared" si="207"/>
        <v>#N/A</v>
      </c>
    </row>
    <row r="1518" spans="45:45" ht="61.5" x14ac:dyDescent="0.9">
      <c r="AS1518" s="64" t="e">
        <f t="shared" si="207"/>
        <v>#N/A</v>
      </c>
    </row>
    <row r="1519" spans="45:45" ht="61.5" x14ac:dyDescent="0.9">
      <c r="AS1519" s="64" t="e">
        <f t="shared" si="207"/>
        <v>#N/A</v>
      </c>
    </row>
    <row r="1520" spans="45:45" ht="61.5" x14ac:dyDescent="0.9">
      <c r="AS1520" s="64" t="e">
        <f t="shared" si="207"/>
        <v>#N/A</v>
      </c>
    </row>
    <row r="1521" spans="45:45" ht="61.5" x14ac:dyDescent="0.9">
      <c r="AS1521" s="64" t="e">
        <f t="shared" si="207"/>
        <v>#N/A</v>
      </c>
    </row>
    <row r="1522" spans="45:45" ht="61.5" x14ac:dyDescent="0.9">
      <c r="AS1522" s="64" t="e">
        <f t="shared" si="207"/>
        <v>#N/A</v>
      </c>
    </row>
    <row r="1523" spans="45:45" ht="61.5" x14ac:dyDescent="0.9">
      <c r="AS1523" s="64" t="e">
        <f t="shared" si="207"/>
        <v>#N/A</v>
      </c>
    </row>
    <row r="1524" spans="45:45" ht="61.5" x14ac:dyDescent="0.9">
      <c r="AS1524" s="64" t="e">
        <f t="shared" si="207"/>
        <v>#N/A</v>
      </c>
    </row>
    <row r="1525" spans="45:45" ht="61.5" x14ac:dyDescent="0.9">
      <c r="AS1525" s="64" t="e">
        <f t="shared" si="207"/>
        <v>#N/A</v>
      </c>
    </row>
    <row r="1526" spans="45:45" ht="61.5" x14ac:dyDescent="0.9">
      <c r="AS1526" s="64" t="e">
        <f t="shared" si="207"/>
        <v>#N/A</v>
      </c>
    </row>
    <row r="1527" spans="45:45" ht="61.5" x14ac:dyDescent="0.9">
      <c r="AS1527" s="64" t="e">
        <f t="shared" si="207"/>
        <v>#N/A</v>
      </c>
    </row>
    <row r="1528" spans="45:45" ht="61.5" x14ac:dyDescent="0.9">
      <c r="AS1528" s="64" t="e">
        <f t="shared" si="207"/>
        <v>#N/A</v>
      </c>
    </row>
    <row r="1529" spans="45:45" ht="61.5" x14ac:dyDescent="0.9">
      <c r="AS1529" s="64" t="e">
        <f t="shared" si="207"/>
        <v>#N/A</v>
      </c>
    </row>
    <row r="1530" spans="45:45" ht="61.5" x14ac:dyDescent="0.9">
      <c r="AS1530" s="64" t="e">
        <f t="shared" si="207"/>
        <v>#N/A</v>
      </c>
    </row>
    <row r="1531" spans="45:45" ht="61.5" x14ac:dyDescent="0.9">
      <c r="AS1531" s="64" t="e">
        <f t="shared" si="207"/>
        <v>#N/A</v>
      </c>
    </row>
    <row r="1532" spans="45:45" ht="61.5" x14ac:dyDescent="0.9">
      <c r="AS1532" s="64" t="e">
        <f t="shared" si="207"/>
        <v>#N/A</v>
      </c>
    </row>
    <row r="1533" spans="45:45" ht="61.5" x14ac:dyDescent="0.9">
      <c r="AS1533" s="64" t="e">
        <f t="shared" si="207"/>
        <v>#N/A</v>
      </c>
    </row>
    <row r="1534" spans="45:45" ht="61.5" x14ac:dyDescent="0.9">
      <c r="AS1534" s="64" t="e">
        <f t="shared" si="207"/>
        <v>#N/A</v>
      </c>
    </row>
    <row r="1535" spans="45:45" ht="61.5" x14ac:dyDescent="0.9">
      <c r="AS1535" s="64" t="e">
        <f t="shared" si="207"/>
        <v>#N/A</v>
      </c>
    </row>
    <row r="1536" spans="45:45" ht="61.5" x14ac:dyDescent="0.9">
      <c r="AS1536" s="64" t="e">
        <f t="shared" si="207"/>
        <v>#N/A</v>
      </c>
    </row>
    <row r="1537" spans="45:45" ht="61.5" x14ac:dyDescent="0.9">
      <c r="AS1537" s="64" t="e">
        <f t="shared" si="207"/>
        <v>#N/A</v>
      </c>
    </row>
    <row r="1538" spans="45:45" ht="61.5" x14ac:dyDescent="0.9">
      <c r="AS1538" s="64" t="e">
        <f t="shared" si="207"/>
        <v>#N/A</v>
      </c>
    </row>
    <row r="1539" spans="45:45" ht="61.5" x14ac:dyDescent="0.9">
      <c r="AS1539" s="64" t="e">
        <f t="shared" si="207"/>
        <v>#N/A</v>
      </c>
    </row>
    <row r="1540" spans="45:45" ht="61.5" x14ac:dyDescent="0.9">
      <c r="AS1540" s="64" t="e">
        <f t="shared" si="207"/>
        <v>#N/A</v>
      </c>
    </row>
    <row r="1541" spans="45:45" ht="61.5" x14ac:dyDescent="0.9">
      <c r="AS1541" s="64" t="e">
        <f t="shared" si="207"/>
        <v>#N/A</v>
      </c>
    </row>
    <row r="1542" spans="45:45" ht="61.5" x14ac:dyDescent="0.9">
      <c r="AS1542" s="64" t="e">
        <f t="shared" si="207"/>
        <v>#N/A</v>
      </c>
    </row>
    <row r="1543" spans="45:45" ht="61.5" x14ac:dyDescent="0.9">
      <c r="AS1543" s="64" t="e">
        <f t="shared" si="207"/>
        <v>#N/A</v>
      </c>
    </row>
    <row r="1544" spans="45:45" ht="61.5" x14ac:dyDescent="0.9">
      <c r="AS1544" s="64" t="e">
        <f t="shared" si="207"/>
        <v>#N/A</v>
      </c>
    </row>
    <row r="1545" spans="45:45" ht="61.5" x14ac:dyDescent="0.9">
      <c r="AS1545" s="64" t="e">
        <f t="shared" si="207"/>
        <v>#N/A</v>
      </c>
    </row>
    <row r="1546" spans="45:45" ht="61.5" x14ac:dyDescent="0.9">
      <c r="AS1546" s="64" t="e">
        <f t="shared" si="207"/>
        <v>#N/A</v>
      </c>
    </row>
    <row r="1547" spans="45:45" ht="61.5" x14ac:dyDescent="0.9">
      <c r="AS1547" s="64" t="e">
        <f t="shared" si="207"/>
        <v>#N/A</v>
      </c>
    </row>
    <row r="1548" spans="45:45" ht="61.5" x14ac:dyDescent="0.9">
      <c r="AS1548" s="64" t="e">
        <f t="shared" si="207"/>
        <v>#N/A</v>
      </c>
    </row>
    <row r="1549" spans="45:45" ht="61.5" x14ac:dyDescent="0.9">
      <c r="AS1549" s="64" t="e">
        <f t="shared" si="207"/>
        <v>#N/A</v>
      </c>
    </row>
    <row r="1550" spans="45:45" ht="61.5" x14ac:dyDescent="0.9">
      <c r="AS1550" s="64" t="e">
        <f t="shared" si="207"/>
        <v>#N/A</v>
      </c>
    </row>
    <row r="1551" spans="45:45" ht="61.5" x14ac:dyDescent="0.9">
      <c r="AS1551" s="64" t="e">
        <f t="shared" si="207"/>
        <v>#N/A</v>
      </c>
    </row>
    <row r="1552" spans="45:45" ht="61.5" x14ac:dyDescent="0.9">
      <c r="AS1552" s="64" t="e">
        <f t="shared" si="207"/>
        <v>#N/A</v>
      </c>
    </row>
    <row r="1553" spans="45:45" ht="61.5" x14ac:dyDescent="0.9">
      <c r="AS1553" s="64" t="e">
        <f t="shared" si="207"/>
        <v>#N/A</v>
      </c>
    </row>
    <row r="1554" spans="45:45" ht="61.5" x14ac:dyDescent="0.9">
      <c r="AS1554" s="64" t="e">
        <f t="shared" si="207"/>
        <v>#N/A</v>
      </c>
    </row>
    <row r="1555" spans="45:45" ht="61.5" x14ac:dyDescent="0.9">
      <c r="AS1555" s="64" t="e">
        <f t="shared" ref="AS1555:AS1618" si="208">VLOOKUP(C1555,AU:AV,2,FALSE)</f>
        <v>#N/A</v>
      </c>
    </row>
    <row r="1556" spans="45:45" ht="61.5" x14ac:dyDescent="0.9">
      <c r="AS1556" s="64" t="e">
        <f t="shared" si="208"/>
        <v>#N/A</v>
      </c>
    </row>
    <row r="1557" spans="45:45" ht="61.5" x14ac:dyDescent="0.9">
      <c r="AS1557" s="64" t="e">
        <f t="shared" si="208"/>
        <v>#N/A</v>
      </c>
    </row>
    <row r="1558" spans="45:45" ht="61.5" x14ac:dyDescent="0.9">
      <c r="AS1558" s="64" t="e">
        <f t="shared" si="208"/>
        <v>#N/A</v>
      </c>
    </row>
    <row r="1559" spans="45:45" ht="61.5" x14ac:dyDescent="0.9">
      <c r="AS1559" s="64" t="e">
        <f t="shared" si="208"/>
        <v>#N/A</v>
      </c>
    </row>
    <row r="1560" spans="45:45" ht="61.5" x14ac:dyDescent="0.9">
      <c r="AS1560" s="64" t="e">
        <f t="shared" si="208"/>
        <v>#N/A</v>
      </c>
    </row>
    <row r="1561" spans="45:45" ht="61.5" x14ac:dyDescent="0.9">
      <c r="AS1561" s="64" t="e">
        <f t="shared" si="208"/>
        <v>#N/A</v>
      </c>
    </row>
    <row r="1562" spans="45:45" ht="61.5" x14ac:dyDescent="0.9">
      <c r="AS1562" s="64" t="e">
        <f t="shared" si="208"/>
        <v>#N/A</v>
      </c>
    </row>
    <row r="1563" spans="45:45" ht="61.5" x14ac:dyDescent="0.9">
      <c r="AS1563" s="64" t="e">
        <f t="shared" si="208"/>
        <v>#N/A</v>
      </c>
    </row>
    <row r="1564" spans="45:45" ht="61.5" x14ac:dyDescent="0.9">
      <c r="AS1564" s="64" t="e">
        <f t="shared" si="208"/>
        <v>#N/A</v>
      </c>
    </row>
    <row r="1565" spans="45:45" ht="61.5" x14ac:dyDescent="0.9">
      <c r="AS1565" s="64" t="e">
        <f t="shared" si="208"/>
        <v>#N/A</v>
      </c>
    </row>
    <row r="1566" spans="45:45" ht="61.5" x14ac:dyDescent="0.9">
      <c r="AS1566" s="64" t="e">
        <f t="shared" si="208"/>
        <v>#N/A</v>
      </c>
    </row>
    <row r="1567" spans="45:45" ht="61.5" x14ac:dyDescent="0.9">
      <c r="AS1567" s="64" t="e">
        <f t="shared" si="208"/>
        <v>#N/A</v>
      </c>
    </row>
    <row r="1568" spans="45:45" ht="61.5" x14ac:dyDescent="0.9">
      <c r="AS1568" s="64" t="e">
        <f t="shared" si="208"/>
        <v>#N/A</v>
      </c>
    </row>
    <row r="1569" spans="45:45" ht="61.5" x14ac:dyDescent="0.9">
      <c r="AS1569" s="64" t="e">
        <f t="shared" si="208"/>
        <v>#N/A</v>
      </c>
    </row>
    <row r="1570" spans="45:45" ht="61.5" x14ac:dyDescent="0.9">
      <c r="AS1570" s="64" t="e">
        <f t="shared" si="208"/>
        <v>#N/A</v>
      </c>
    </row>
    <row r="1571" spans="45:45" ht="61.5" x14ac:dyDescent="0.9">
      <c r="AS1571" s="64" t="e">
        <f t="shared" si="208"/>
        <v>#N/A</v>
      </c>
    </row>
    <row r="1572" spans="45:45" ht="61.5" x14ac:dyDescent="0.9">
      <c r="AS1572" s="64" t="e">
        <f t="shared" si="208"/>
        <v>#N/A</v>
      </c>
    </row>
    <row r="1573" spans="45:45" ht="61.5" x14ac:dyDescent="0.9">
      <c r="AS1573" s="64" t="e">
        <f t="shared" si="208"/>
        <v>#N/A</v>
      </c>
    </row>
    <row r="1574" spans="45:45" ht="61.5" x14ac:dyDescent="0.9">
      <c r="AS1574" s="64" t="e">
        <f t="shared" si="208"/>
        <v>#N/A</v>
      </c>
    </row>
    <row r="1575" spans="45:45" ht="61.5" x14ac:dyDescent="0.9">
      <c r="AS1575" s="64" t="e">
        <f t="shared" si="208"/>
        <v>#N/A</v>
      </c>
    </row>
    <row r="1576" spans="45:45" ht="61.5" x14ac:dyDescent="0.9">
      <c r="AS1576" s="64" t="e">
        <f t="shared" si="208"/>
        <v>#N/A</v>
      </c>
    </row>
    <row r="1577" spans="45:45" ht="61.5" x14ac:dyDescent="0.9">
      <c r="AS1577" s="64" t="e">
        <f t="shared" si="208"/>
        <v>#N/A</v>
      </c>
    </row>
    <row r="1578" spans="45:45" ht="61.5" x14ac:dyDescent="0.9">
      <c r="AS1578" s="64" t="e">
        <f t="shared" si="208"/>
        <v>#N/A</v>
      </c>
    </row>
    <row r="1579" spans="45:45" ht="61.5" x14ac:dyDescent="0.9">
      <c r="AS1579" s="64" t="e">
        <f t="shared" si="208"/>
        <v>#N/A</v>
      </c>
    </row>
    <row r="1580" spans="45:45" ht="61.5" x14ac:dyDescent="0.9">
      <c r="AS1580" s="64" t="e">
        <f t="shared" si="208"/>
        <v>#N/A</v>
      </c>
    </row>
    <row r="1581" spans="45:45" ht="61.5" x14ac:dyDescent="0.9">
      <c r="AS1581" s="64" t="e">
        <f t="shared" si="208"/>
        <v>#N/A</v>
      </c>
    </row>
    <row r="1582" spans="45:45" ht="61.5" x14ac:dyDescent="0.9">
      <c r="AS1582" s="64" t="e">
        <f t="shared" si="208"/>
        <v>#N/A</v>
      </c>
    </row>
    <row r="1583" spans="45:45" ht="61.5" x14ac:dyDescent="0.9">
      <c r="AS1583" s="64" t="e">
        <f t="shared" si="208"/>
        <v>#N/A</v>
      </c>
    </row>
    <row r="1584" spans="45:45" ht="61.5" x14ac:dyDescent="0.9">
      <c r="AS1584" s="64" t="e">
        <f t="shared" si="208"/>
        <v>#N/A</v>
      </c>
    </row>
    <row r="1585" spans="45:45" ht="61.5" x14ac:dyDescent="0.9">
      <c r="AS1585" s="64" t="e">
        <f t="shared" si="208"/>
        <v>#N/A</v>
      </c>
    </row>
    <row r="1586" spans="45:45" ht="61.5" x14ac:dyDescent="0.9">
      <c r="AS1586" s="64" t="e">
        <f t="shared" si="208"/>
        <v>#N/A</v>
      </c>
    </row>
    <row r="1587" spans="45:45" ht="61.5" x14ac:dyDescent="0.9">
      <c r="AS1587" s="64" t="e">
        <f t="shared" si="208"/>
        <v>#N/A</v>
      </c>
    </row>
    <row r="1588" spans="45:45" ht="61.5" x14ac:dyDescent="0.9">
      <c r="AS1588" s="64" t="e">
        <f t="shared" si="208"/>
        <v>#N/A</v>
      </c>
    </row>
    <row r="1589" spans="45:45" ht="61.5" x14ac:dyDescent="0.9">
      <c r="AS1589" s="64" t="e">
        <f t="shared" si="208"/>
        <v>#N/A</v>
      </c>
    </row>
    <row r="1590" spans="45:45" ht="61.5" x14ac:dyDescent="0.9">
      <c r="AS1590" s="64" t="e">
        <f t="shared" si="208"/>
        <v>#N/A</v>
      </c>
    </row>
    <row r="1591" spans="45:45" ht="61.5" x14ac:dyDescent="0.9">
      <c r="AS1591" s="64" t="e">
        <f t="shared" si="208"/>
        <v>#N/A</v>
      </c>
    </row>
    <row r="1592" spans="45:45" ht="61.5" x14ac:dyDescent="0.9">
      <c r="AS1592" s="64" t="e">
        <f t="shared" si="208"/>
        <v>#N/A</v>
      </c>
    </row>
    <row r="1593" spans="45:45" ht="61.5" x14ac:dyDescent="0.9">
      <c r="AS1593" s="64" t="e">
        <f t="shared" si="208"/>
        <v>#N/A</v>
      </c>
    </row>
    <row r="1594" spans="45:45" ht="61.5" x14ac:dyDescent="0.9">
      <c r="AS1594" s="64" t="e">
        <f t="shared" si="208"/>
        <v>#N/A</v>
      </c>
    </row>
    <row r="1595" spans="45:45" ht="61.5" x14ac:dyDescent="0.9">
      <c r="AS1595" s="64" t="e">
        <f t="shared" si="208"/>
        <v>#N/A</v>
      </c>
    </row>
    <row r="1596" spans="45:45" ht="61.5" x14ac:dyDescent="0.9">
      <c r="AS1596" s="64" t="e">
        <f t="shared" si="208"/>
        <v>#N/A</v>
      </c>
    </row>
    <row r="1597" spans="45:45" ht="61.5" x14ac:dyDescent="0.9">
      <c r="AS1597" s="64" t="e">
        <f t="shared" si="208"/>
        <v>#N/A</v>
      </c>
    </row>
    <row r="1598" spans="45:45" ht="61.5" x14ac:dyDescent="0.9">
      <c r="AS1598" s="64" t="e">
        <f t="shared" si="208"/>
        <v>#N/A</v>
      </c>
    </row>
    <row r="1599" spans="45:45" ht="61.5" x14ac:dyDescent="0.9">
      <c r="AS1599" s="64" t="e">
        <f t="shared" si="208"/>
        <v>#N/A</v>
      </c>
    </row>
    <row r="1600" spans="45:45" ht="61.5" x14ac:dyDescent="0.9">
      <c r="AS1600" s="64" t="e">
        <f t="shared" si="208"/>
        <v>#N/A</v>
      </c>
    </row>
    <row r="1601" spans="45:45" ht="61.5" x14ac:dyDescent="0.9">
      <c r="AS1601" s="64" t="e">
        <f t="shared" si="208"/>
        <v>#N/A</v>
      </c>
    </row>
    <row r="1602" spans="45:45" ht="61.5" x14ac:dyDescent="0.9">
      <c r="AS1602" s="64" t="e">
        <f t="shared" si="208"/>
        <v>#N/A</v>
      </c>
    </row>
    <row r="1603" spans="45:45" ht="61.5" x14ac:dyDescent="0.9">
      <c r="AS1603" s="64" t="e">
        <f t="shared" si="208"/>
        <v>#N/A</v>
      </c>
    </row>
    <row r="1604" spans="45:45" ht="61.5" x14ac:dyDescent="0.9">
      <c r="AS1604" s="64" t="e">
        <f t="shared" si="208"/>
        <v>#N/A</v>
      </c>
    </row>
    <row r="1605" spans="45:45" ht="61.5" x14ac:dyDescent="0.9">
      <c r="AS1605" s="64" t="e">
        <f t="shared" si="208"/>
        <v>#N/A</v>
      </c>
    </row>
    <row r="1606" spans="45:45" ht="61.5" x14ac:dyDescent="0.9">
      <c r="AS1606" s="64" t="e">
        <f t="shared" si="208"/>
        <v>#N/A</v>
      </c>
    </row>
    <row r="1607" spans="45:45" ht="61.5" x14ac:dyDescent="0.9">
      <c r="AS1607" s="64" t="e">
        <f t="shared" si="208"/>
        <v>#N/A</v>
      </c>
    </row>
    <row r="1608" spans="45:45" ht="61.5" x14ac:dyDescent="0.9">
      <c r="AS1608" s="64" t="e">
        <f t="shared" si="208"/>
        <v>#N/A</v>
      </c>
    </row>
    <row r="1609" spans="45:45" ht="61.5" x14ac:dyDescent="0.9">
      <c r="AS1609" s="64" t="e">
        <f t="shared" si="208"/>
        <v>#N/A</v>
      </c>
    </row>
    <row r="1610" spans="45:45" ht="61.5" x14ac:dyDescent="0.9">
      <c r="AS1610" s="64" t="e">
        <f t="shared" si="208"/>
        <v>#N/A</v>
      </c>
    </row>
    <row r="1611" spans="45:45" ht="61.5" x14ac:dyDescent="0.9">
      <c r="AS1611" s="64" t="e">
        <f t="shared" si="208"/>
        <v>#N/A</v>
      </c>
    </row>
    <row r="1612" spans="45:45" ht="61.5" x14ac:dyDescent="0.9">
      <c r="AS1612" s="64" t="e">
        <f t="shared" si="208"/>
        <v>#N/A</v>
      </c>
    </row>
    <row r="1613" spans="45:45" ht="61.5" x14ac:dyDescent="0.9">
      <c r="AS1613" s="64" t="e">
        <f t="shared" si="208"/>
        <v>#N/A</v>
      </c>
    </row>
    <row r="1614" spans="45:45" ht="61.5" x14ac:dyDescent="0.9">
      <c r="AS1614" s="64" t="e">
        <f t="shared" si="208"/>
        <v>#N/A</v>
      </c>
    </row>
    <row r="1615" spans="45:45" ht="61.5" x14ac:dyDescent="0.9">
      <c r="AS1615" s="64" t="e">
        <f t="shared" si="208"/>
        <v>#N/A</v>
      </c>
    </row>
    <row r="1616" spans="45:45" ht="61.5" x14ac:dyDescent="0.9">
      <c r="AS1616" s="64" t="e">
        <f t="shared" si="208"/>
        <v>#N/A</v>
      </c>
    </row>
    <row r="1617" spans="45:45" ht="61.5" x14ac:dyDescent="0.9">
      <c r="AS1617" s="64" t="e">
        <f t="shared" si="208"/>
        <v>#N/A</v>
      </c>
    </row>
    <row r="1618" spans="45:45" ht="61.5" x14ac:dyDescent="0.9">
      <c r="AS1618" s="64" t="e">
        <f t="shared" si="208"/>
        <v>#N/A</v>
      </c>
    </row>
    <row r="1619" spans="45:45" ht="61.5" x14ac:dyDescent="0.9">
      <c r="AS1619" s="64" t="e">
        <f t="shared" ref="AS1619:AS1650" si="209">VLOOKUP(C1619,AU:AV,2,FALSE)</f>
        <v>#N/A</v>
      </c>
    </row>
    <row r="1620" spans="45:45" ht="61.5" x14ac:dyDescent="0.9">
      <c r="AS1620" s="64" t="e">
        <f t="shared" si="209"/>
        <v>#N/A</v>
      </c>
    </row>
    <row r="1621" spans="45:45" ht="61.5" x14ac:dyDescent="0.9">
      <c r="AS1621" s="64" t="e">
        <f t="shared" si="209"/>
        <v>#N/A</v>
      </c>
    </row>
    <row r="1622" spans="45:45" ht="61.5" x14ac:dyDescent="0.9">
      <c r="AS1622" s="64" t="e">
        <f t="shared" si="209"/>
        <v>#N/A</v>
      </c>
    </row>
    <row r="1623" spans="45:45" ht="61.5" x14ac:dyDescent="0.9">
      <c r="AS1623" s="64" t="e">
        <f t="shared" si="209"/>
        <v>#N/A</v>
      </c>
    </row>
    <row r="1624" spans="45:45" ht="61.5" x14ac:dyDescent="0.9">
      <c r="AS1624" s="64" t="e">
        <f t="shared" si="209"/>
        <v>#N/A</v>
      </c>
    </row>
    <row r="1625" spans="45:45" ht="61.5" x14ac:dyDescent="0.9">
      <c r="AS1625" s="64" t="e">
        <f t="shared" si="209"/>
        <v>#N/A</v>
      </c>
    </row>
    <row r="1626" spans="45:45" ht="61.5" x14ac:dyDescent="0.9">
      <c r="AS1626" s="64" t="e">
        <f t="shared" si="209"/>
        <v>#N/A</v>
      </c>
    </row>
    <row r="1627" spans="45:45" ht="61.5" x14ac:dyDescent="0.9">
      <c r="AS1627" s="64" t="e">
        <f t="shared" si="209"/>
        <v>#N/A</v>
      </c>
    </row>
    <row r="1628" spans="45:45" ht="61.5" x14ac:dyDescent="0.9">
      <c r="AS1628" s="64" t="e">
        <f t="shared" si="209"/>
        <v>#N/A</v>
      </c>
    </row>
    <row r="1629" spans="45:45" ht="61.5" x14ac:dyDescent="0.9">
      <c r="AS1629" s="64" t="e">
        <f t="shared" si="209"/>
        <v>#N/A</v>
      </c>
    </row>
    <row r="1630" spans="45:45" ht="61.5" x14ac:dyDescent="0.9">
      <c r="AS1630" s="64" t="e">
        <f t="shared" si="209"/>
        <v>#N/A</v>
      </c>
    </row>
    <row r="1631" spans="45:45" ht="61.5" x14ac:dyDescent="0.9">
      <c r="AS1631" s="64" t="e">
        <f t="shared" si="209"/>
        <v>#N/A</v>
      </c>
    </row>
    <row r="1632" spans="45:45" ht="61.5" x14ac:dyDescent="0.9">
      <c r="AS1632" s="64" t="e">
        <f t="shared" si="209"/>
        <v>#N/A</v>
      </c>
    </row>
    <row r="1633" spans="45:45" ht="61.5" x14ac:dyDescent="0.9">
      <c r="AS1633" s="64" t="e">
        <f t="shared" si="209"/>
        <v>#N/A</v>
      </c>
    </row>
    <row r="1634" spans="45:45" ht="61.5" x14ac:dyDescent="0.9">
      <c r="AS1634" s="64" t="e">
        <f t="shared" si="209"/>
        <v>#N/A</v>
      </c>
    </row>
    <row r="1635" spans="45:45" ht="61.5" x14ac:dyDescent="0.9">
      <c r="AS1635" s="64" t="e">
        <f t="shared" si="209"/>
        <v>#N/A</v>
      </c>
    </row>
    <row r="1636" spans="45:45" ht="61.5" x14ac:dyDescent="0.9">
      <c r="AS1636" s="64" t="e">
        <f t="shared" si="209"/>
        <v>#N/A</v>
      </c>
    </row>
    <row r="1637" spans="45:45" ht="61.5" x14ac:dyDescent="0.9">
      <c r="AS1637" s="64" t="e">
        <f t="shared" si="209"/>
        <v>#N/A</v>
      </c>
    </row>
    <row r="1638" spans="45:45" ht="61.5" x14ac:dyDescent="0.9">
      <c r="AS1638" s="64" t="e">
        <f t="shared" si="209"/>
        <v>#N/A</v>
      </c>
    </row>
    <row r="1639" spans="45:45" ht="61.5" x14ac:dyDescent="0.9">
      <c r="AS1639" s="64" t="e">
        <f t="shared" si="209"/>
        <v>#N/A</v>
      </c>
    </row>
    <row r="1640" spans="45:45" ht="61.5" x14ac:dyDescent="0.9">
      <c r="AS1640" s="64" t="e">
        <f t="shared" si="209"/>
        <v>#N/A</v>
      </c>
    </row>
    <row r="1641" spans="45:45" ht="61.5" x14ac:dyDescent="0.9">
      <c r="AS1641" s="64" t="e">
        <f t="shared" si="209"/>
        <v>#N/A</v>
      </c>
    </row>
    <row r="1642" spans="45:45" ht="61.5" x14ac:dyDescent="0.9">
      <c r="AS1642" s="64" t="e">
        <f t="shared" si="209"/>
        <v>#N/A</v>
      </c>
    </row>
    <row r="1643" spans="45:45" ht="61.5" x14ac:dyDescent="0.9">
      <c r="AS1643" s="64" t="e">
        <f t="shared" si="209"/>
        <v>#N/A</v>
      </c>
    </row>
    <row r="1644" spans="45:45" ht="61.5" x14ac:dyDescent="0.9">
      <c r="AS1644" s="64" t="e">
        <f t="shared" si="209"/>
        <v>#N/A</v>
      </c>
    </row>
    <row r="1645" spans="45:45" ht="61.5" x14ac:dyDescent="0.9">
      <c r="AS1645" s="64" t="e">
        <f t="shared" si="209"/>
        <v>#N/A</v>
      </c>
    </row>
    <row r="1646" spans="45:45" ht="61.5" x14ac:dyDescent="0.9">
      <c r="AS1646" s="64" t="e">
        <f t="shared" si="209"/>
        <v>#N/A</v>
      </c>
    </row>
    <row r="1647" spans="45:45" ht="61.5" x14ac:dyDescent="0.9">
      <c r="AS1647" s="64" t="e">
        <f t="shared" si="209"/>
        <v>#N/A</v>
      </c>
    </row>
    <row r="1648" spans="45:45" ht="61.5" x14ac:dyDescent="0.9">
      <c r="AS1648" s="64" t="e">
        <f t="shared" si="209"/>
        <v>#N/A</v>
      </c>
    </row>
    <row r="1649" spans="45:45" ht="61.5" x14ac:dyDescent="0.9">
      <c r="AS1649" s="64" t="e">
        <f t="shared" si="209"/>
        <v>#N/A</v>
      </c>
    </row>
    <row r="1650" spans="45:45" ht="61.5" x14ac:dyDescent="0.9">
      <c r="AS1650" s="64" t="e">
        <f t="shared" si="209"/>
        <v>#N/A</v>
      </c>
    </row>
  </sheetData>
  <autoFilter ref="A14:GL1234" xr:uid="{00000000-0009-0000-0000-000001000000}"/>
  <mergeCells count="28"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  <mergeCell ref="B1227:U1227"/>
    <mergeCell ref="B1228:C1228"/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</mergeCells>
  <printOptions horizontalCentered="1"/>
  <pageMargins left="0" right="0" top="0.39370078740157483" bottom="0" header="0" footer="0"/>
  <pageSetup paperSize="9" scale="16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5"/>
  <sheetViews>
    <sheetView view="pageBreakPreview" zoomScale="60" zoomScaleNormal="60" workbookViewId="0">
      <selection activeCell="C23" sqref="C23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4" max="4" width="0" hidden="1" customWidth="1"/>
    <col min="5" max="5" width="14" hidden="1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5" ht="18.75" x14ac:dyDescent="0.3">
      <c r="A1" s="1"/>
      <c r="B1" s="1"/>
      <c r="C1" s="2" t="s">
        <v>755</v>
      </c>
    </row>
    <row r="2" spans="1:5" ht="63.75" customHeight="1" x14ac:dyDescent="0.25">
      <c r="A2" s="272" t="s">
        <v>763</v>
      </c>
      <c r="B2" s="272"/>
      <c r="C2" s="272"/>
    </row>
    <row r="3" spans="1:5" ht="41.45" customHeight="1" x14ac:dyDescent="0.25">
      <c r="A3" s="267" t="s">
        <v>756</v>
      </c>
      <c r="B3" s="268"/>
      <c r="C3" s="269"/>
    </row>
    <row r="4" spans="1:5" ht="18.75" customHeight="1" x14ac:dyDescent="0.25">
      <c r="A4" s="267" t="s">
        <v>757</v>
      </c>
      <c r="B4" s="269"/>
      <c r="C4" s="41" t="s">
        <v>764</v>
      </c>
    </row>
    <row r="5" spans="1:5" ht="18.75" x14ac:dyDescent="0.3">
      <c r="A5" s="270" t="s">
        <v>758</v>
      </c>
      <c r="B5" s="271"/>
      <c r="C5" s="42">
        <f>Перечень!P14</f>
        <v>1546083122.99</v>
      </c>
    </row>
    <row r="6" spans="1:5" ht="37.5" customHeight="1" x14ac:dyDescent="0.3">
      <c r="A6" s="270" t="s">
        <v>759</v>
      </c>
      <c r="B6" s="271"/>
      <c r="C6" s="42">
        <v>0</v>
      </c>
    </row>
    <row r="7" spans="1:5" ht="18.75" x14ac:dyDescent="0.3">
      <c r="A7" s="270" t="s">
        <v>760</v>
      </c>
      <c r="B7" s="271"/>
      <c r="C7" s="42">
        <f>Перечень!Q14</f>
        <v>0</v>
      </c>
    </row>
    <row r="8" spans="1:5" ht="18.75" x14ac:dyDescent="0.3">
      <c r="A8" s="270" t="s">
        <v>761</v>
      </c>
      <c r="B8" s="271"/>
      <c r="C8" s="42">
        <f>Перечень!R14</f>
        <v>4260660.97</v>
      </c>
      <c r="D8">
        <v>4344514.92</v>
      </c>
      <c r="E8" s="125">
        <v>746895.1400000006</v>
      </c>
    </row>
    <row r="9" spans="1:5" ht="18.75" customHeight="1" x14ac:dyDescent="0.3">
      <c r="A9" s="270" t="s">
        <v>762</v>
      </c>
      <c r="B9" s="271"/>
      <c r="C9" s="42">
        <f>C5-C6-C7-C8</f>
        <v>1541822462.02</v>
      </c>
    </row>
    <row r="10" spans="1:5" ht="43.9" customHeight="1" x14ac:dyDescent="0.25">
      <c r="A10" s="267" t="s">
        <v>756</v>
      </c>
      <c r="B10" s="268"/>
      <c r="C10" s="269"/>
    </row>
    <row r="11" spans="1:5" ht="18.75" customHeight="1" x14ac:dyDescent="0.25">
      <c r="A11" s="267" t="s">
        <v>757</v>
      </c>
      <c r="B11" s="269"/>
      <c r="C11" s="41" t="s">
        <v>765</v>
      </c>
    </row>
    <row r="12" spans="1:5" ht="18.75" x14ac:dyDescent="0.3">
      <c r="A12" s="270" t="s">
        <v>758</v>
      </c>
      <c r="B12" s="271"/>
      <c r="C12" s="42">
        <f>Перечень!P544</f>
        <v>957770537.6500001</v>
      </c>
    </row>
    <row r="13" spans="1:5" ht="33.75" customHeight="1" x14ac:dyDescent="0.3">
      <c r="A13" s="270" t="s">
        <v>759</v>
      </c>
      <c r="B13" s="271"/>
      <c r="C13" s="42">
        <v>0</v>
      </c>
    </row>
    <row r="14" spans="1:5" ht="18.75" x14ac:dyDescent="0.3">
      <c r="A14" s="270" t="s">
        <v>760</v>
      </c>
      <c r="B14" s="271"/>
      <c r="C14" s="42">
        <f>Перечень!Q544</f>
        <v>0</v>
      </c>
    </row>
    <row r="15" spans="1:5" ht="18.75" x14ac:dyDescent="0.3">
      <c r="A15" s="270" t="s">
        <v>761</v>
      </c>
      <c r="B15" s="271"/>
      <c r="C15" s="42">
        <f>Перечень!R544</f>
        <v>2523423.19</v>
      </c>
    </row>
    <row r="16" spans="1:5" ht="18.75" customHeight="1" x14ac:dyDescent="0.3">
      <c r="A16" s="270" t="s">
        <v>762</v>
      </c>
      <c r="B16" s="271"/>
      <c r="C16" s="42">
        <f>C12-C13-C14-C15</f>
        <v>955247114.46000004</v>
      </c>
    </row>
    <row r="17" spans="1:3" ht="39.75" customHeight="1" x14ac:dyDescent="0.25">
      <c r="A17" s="267" t="s">
        <v>756</v>
      </c>
      <c r="B17" s="268"/>
      <c r="C17" s="269"/>
    </row>
    <row r="18" spans="1:3" ht="18.75" customHeight="1" x14ac:dyDescent="0.25">
      <c r="A18" s="267" t="s">
        <v>757</v>
      </c>
      <c r="B18" s="269"/>
      <c r="C18" s="41" t="s">
        <v>766</v>
      </c>
    </row>
    <row r="19" spans="1:3" ht="18.75" x14ac:dyDescent="0.3">
      <c r="A19" s="270" t="s">
        <v>758</v>
      </c>
      <c r="B19" s="271"/>
      <c r="C19" s="42">
        <f>Перечень!P955</f>
        <v>787616479.89000022</v>
      </c>
    </row>
    <row r="20" spans="1:3" ht="41.25" customHeight="1" x14ac:dyDescent="0.3">
      <c r="A20" s="270" t="s">
        <v>759</v>
      </c>
      <c r="B20" s="271"/>
      <c r="C20" s="42">
        <v>0</v>
      </c>
    </row>
    <row r="21" spans="1:3" ht="18.75" x14ac:dyDescent="0.3">
      <c r="A21" s="270" t="s">
        <v>760</v>
      </c>
      <c r="B21" s="271"/>
      <c r="C21" s="42">
        <f>Перечень!Q955</f>
        <v>0</v>
      </c>
    </row>
    <row r="22" spans="1:3" ht="18.75" x14ac:dyDescent="0.3">
      <c r="A22" s="270" t="s">
        <v>761</v>
      </c>
      <c r="B22" s="271"/>
      <c r="C22" s="42">
        <f>Перечень!R955</f>
        <v>1851570.68</v>
      </c>
    </row>
    <row r="23" spans="1:3" ht="18.75" customHeight="1" x14ac:dyDescent="0.3">
      <c r="A23" s="270" t="s">
        <v>762</v>
      </c>
      <c r="B23" s="271"/>
      <c r="C23" s="42">
        <f>C19-C20-C21-C22</f>
        <v>785764909.21000028</v>
      </c>
    </row>
    <row r="24" spans="1:3" ht="81.75" customHeight="1" x14ac:dyDescent="0.25">
      <c r="A24" s="267" t="s">
        <v>1653</v>
      </c>
      <c r="B24" s="268"/>
      <c r="C24" s="269"/>
    </row>
    <row r="25" spans="1:3" ht="18.75" customHeight="1" x14ac:dyDescent="0.25">
      <c r="A25" s="267" t="s">
        <v>757</v>
      </c>
      <c r="B25" s="269"/>
      <c r="C25" s="41" t="s">
        <v>764</v>
      </c>
    </row>
    <row r="26" spans="1:3" ht="18.75" x14ac:dyDescent="0.3">
      <c r="A26" s="270" t="s">
        <v>760</v>
      </c>
      <c r="B26" s="271"/>
      <c r="C26" s="42">
        <v>28865700</v>
      </c>
    </row>
    <row r="27" spans="1:3" s="149" customFormat="1" ht="23.25" customHeight="1" x14ac:dyDescent="0.3">
      <c r="A27" s="270" t="s">
        <v>1713</v>
      </c>
      <c r="B27" s="271"/>
      <c r="C27" s="42">
        <f>C26-Перечень!Q1228</f>
        <v>23357057.34</v>
      </c>
    </row>
    <row r="28" spans="1:3" s="149" customFormat="1" ht="23.25" customHeight="1" x14ac:dyDescent="0.3">
      <c r="A28" s="270" t="s">
        <v>761</v>
      </c>
      <c r="B28" s="271"/>
      <c r="C28" s="42">
        <f>Перечень!R1228</f>
        <v>1409400</v>
      </c>
    </row>
    <row r="29" spans="1:3" s="149" customFormat="1" ht="27" customHeight="1" x14ac:dyDescent="0.3">
      <c r="A29" s="270" t="s">
        <v>762</v>
      </c>
      <c r="B29" s="271"/>
      <c r="C29" s="42">
        <f>Перечень!S1228</f>
        <v>1256638.3399999999</v>
      </c>
    </row>
    <row r="30" spans="1:3" ht="82.5" customHeight="1" x14ac:dyDescent="0.25">
      <c r="A30" s="267" t="s">
        <v>1715</v>
      </c>
      <c r="B30" s="268"/>
      <c r="C30" s="269"/>
    </row>
    <row r="31" spans="1:3" ht="18.75" customHeight="1" x14ac:dyDescent="0.25">
      <c r="A31" s="267" t="s">
        <v>757</v>
      </c>
      <c r="B31" s="269"/>
      <c r="C31" s="41" t="s">
        <v>765</v>
      </c>
    </row>
    <row r="32" spans="1:3" ht="18.75" x14ac:dyDescent="0.3">
      <c r="A32" s="270" t="s">
        <v>760</v>
      </c>
      <c r="B32" s="271"/>
      <c r="C32" s="42">
        <v>28826300</v>
      </c>
    </row>
    <row r="33" spans="1:3" ht="81" customHeight="1" x14ac:dyDescent="0.25">
      <c r="A33" s="267" t="s">
        <v>1653</v>
      </c>
      <c r="B33" s="268"/>
      <c r="C33" s="269"/>
    </row>
    <row r="34" spans="1:3" ht="18.75" customHeight="1" x14ac:dyDescent="0.25">
      <c r="A34" s="267" t="s">
        <v>757</v>
      </c>
      <c r="B34" s="269"/>
      <c r="C34" s="41" t="s">
        <v>766</v>
      </c>
    </row>
    <row r="35" spans="1:3" ht="18.75" x14ac:dyDescent="0.3">
      <c r="A35" s="270" t="s">
        <v>760</v>
      </c>
      <c r="B35" s="271"/>
      <c r="C35" s="42">
        <v>28058900</v>
      </c>
    </row>
  </sheetData>
  <mergeCells count="34"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  <mergeCell ref="A8:B8"/>
    <mergeCell ref="A9:B9"/>
    <mergeCell ref="A10:C10"/>
    <mergeCell ref="A11:B11"/>
    <mergeCell ref="A12:B12"/>
    <mergeCell ref="A7:B7"/>
    <mergeCell ref="A2:C2"/>
    <mergeCell ref="A3:C3"/>
    <mergeCell ref="A4:B4"/>
    <mergeCell ref="A5:B5"/>
    <mergeCell ref="A6:B6"/>
    <mergeCell ref="A33:C33"/>
    <mergeCell ref="A34:B34"/>
    <mergeCell ref="A35:B35"/>
    <mergeCell ref="A32:B32"/>
    <mergeCell ref="A24:C24"/>
    <mergeCell ref="A25:B25"/>
    <mergeCell ref="A26:B26"/>
    <mergeCell ref="A30:C30"/>
    <mergeCell ref="A31:B31"/>
    <mergeCell ref="A27:B27"/>
    <mergeCell ref="A28:B28"/>
    <mergeCell ref="A29:B29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zoomScale="70" zoomScaleNormal="70" workbookViewId="0">
      <selection activeCell="B28" sqref="B28:B29"/>
    </sheetView>
  </sheetViews>
  <sheetFormatPr defaultRowHeight="15" x14ac:dyDescent="0.2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1" width="17" style="6" customWidth="1"/>
    <col min="12" max="16384" width="9.140625" style="6"/>
  </cols>
  <sheetData>
    <row r="1" spans="1:11" ht="20.25" x14ac:dyDescent="0.25">
      <c r="A1" s="5"/>
      <c r="B1" s="5"/>
      <c r="C1" s="5"/>
      <c r="D1" s="5"/>
      <c r="E1" s="276" t="s">
        <v>767</v>
      </c>
      <c r="F1" s="276"/>
    </row>
    <row r="2" spans="1:11" ht="95.25" customHeight="1" x14ac:dyDescent="0.25">
      <c r="B2" s="7"/>
      <c r="C2" s="7"/>
      <c r="D2" s="277" t="s">
        <v>774</v>
      </c>
      <c r="E2" s="277"/>
      <c r="F2" s="277"/>
    </row>
    <row r="3" spans="1:11" x14ac:dyDescent="0.25">
      <c r="A3" s="278" t="s">
        <v>775</v>
      </c>
      <c r="B3" s="278"/>
      <c r="C3" s="278"/>
      <c r="D3" s="278"/>
      <c r="E3" s="278"/>
      <c r="F3" s="278"/>
    </row>
    <row r="4" spans="1:11" ht="93" customHeight="1" x14ac:dyDescent="0.25">
      <c r="A4" s="278"/>
      <c r="B4" s="278"/>
      <c r="C4" s="278"/>
      <c r="D4" s="278"/>
      <c r="E4" s="278"/>
      <c r="F4" s="278"/>
    </row>
    <row r="5" spans="1:11" x14ac:dyDescent="0.25">
      <c r="A5" s="279" t="s">
        <v>6</v>
      </c>
      <c r="B5" s="282" t="s">
        <v>768</v>
      </c>
      <c r="C5" s="279" t="s">
        <v>769</v>
      </c>
      <c r="D5" s="279" t="s">
        <v>770</v>
      </c>
      <c r="E5" s="279" t="s">
        <v>771</v>
      </c>
      <c r="F5" s="279" t="s">
        <v>772</v>
      </c>
    </row>
    <row r="6" spans="1:11" x14ac:dyDescent="0.25">
      <c r="A6" s="280"/>
      <c r="B6" s="283"/>
      <c r="C6" s="285"/>
      <c r="D6" s="285"/>
      <c r="E6" s="285"/>
      <c r="F6" s="285"/>
    </row>
    <row r="7" spans="1:11" ht="101.25" customHeight="1" x14ac:dyDescent="0.25">
      <c r="A7" s="280"/>
      <c r="B7" s="283"/>
      <c r="C7" s="286"/>
      <c r="D7" s="286"/>
      <c r="E7" s="286"/>
      <c r="F7" s="286"/>
    </row>
    <row r="8" spans="1:11" ht="20.25" x14ac:dyDescent="0.3">
      <c r="A8" s="281"/>
      <c r="B8" s="284"/>
      <c r="C8" s="8" t="s">
        <v>773</v>
      </c>
      <c r="D8" s="8" t="s">
        <v>269</v>
      </c>
      <c r="E8" s="9" t="s">
        <v>37</v>
      </c>
      <c r="F8" s="9" t="s">
        <v>36</v>
      </c>
    </row>
    <row r="9" spans="1:11" ht="20.25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11" ht="20.25" x14ac:dyDescent="0.3">
      <c r="A10" s="3" t="s">
        <v>777</v>
      </c>
      <c r="B10" s="11"/>
      <c r="C10" s="77">
        <f>C11+C79+C138</f>
        <v>2613574.2900000005</v>
      </c>
      <c r="D10" s="78">
        <f>D11+D79+D138</f>
        <v>99467.19</v>
      </c>
      <c r="E10" s="175">
        <f>E11+E79+E138</f>
        <v>1027</v>
      </c>
      <c r="F10" s="77">
        <f>F11+F79+F138</f>
        <v>3291470140.5300002</v>
      </c>
      <c r="K10" s="141"/>
    </row>
    <row r="11" spans="1:11" ht="20.25" x14ac:dyDescent="0.3">
      <c r="A11" s="3" t="s">
        <v>778</v>
      </c>
      <c r="B11" s="11"/>
      <c r="C11" s="77">
        <f>SUM(C12:C78)</f>
        <v>1242278.5900000003</v>
      </c>
      <c r="D11" s="78">
        <f>SUM(D12:D78)</f>
        <v>46061</v>
      </c>
      <c r="E11" s="175">
        <f>SUM(E12:E78)</f>
        <v>462</v>
      </c>
      <c r="F11" s="77">
        <f>SUM(F12:F78)</f>
        <v>1546083122.9899998</v>
      </c>
      <c r="K11" s="141"/>
    </row>
    <row r="12" spans="1:11" ht="20.25" x14ac:dyDescent="0.3">
      <c r="A12" s="4">
        <v>1</v>
      </c>
      <c r="B12" s="3" t="s">
        <v>1011</v>
      </c>
      <c r="C12" s="77">
        <v>314223.05</v>
      </c>
      <c r="D12" s="78">
        <v>11952</v>
      </c>
      <c r="E12" s="154">
        <v>101</v>
      </c>
      <c r="F12" s="103">
        <f>Реестр!D21</f>
        <v>329108529.99000001</v>
      </c>
    </row>
    <row r="13" spans="1:11" ht="20.25" x14ac:dyDescent="0.3">
      <c r="A13" s="4">
        <v>2</v>
      </c>
      <c r="B13" s="3" t="s">
        <v>917</v>
      </c>
      <c r="C13" s="77">
        <v>57208.5</v>
      </c>
      <c r="D13" s="78">
        <v>2332</v>
      </c>
      <c r="E13" s="154">
        <v>32</v>
      </c>
      <c r="F13" s="103">
        <f>Реестр!D123</f>
        <v>89338725.269999981</v>
      </c>
    </row>
    <row r="14" spans="1:11" ht="20.25" x14ac:dyDescent="0.3">
      <c r="A14" s="4">
        <v>3</v>
      </c>
      <c r="B14" s="3" t="s">
        <v>918</v>
      </c>
      <c r="C14" s="103">
        <v>113222.80999999998</v>
      </c>
      <c r="D14" s="79">
        <v>4316</v>
      </c>
      <c r="E14" s="154">
        <v>39</v>
      </c>
      <c r="F14" s="103">
        <v>138223700.99000001</v>
      </c>
    </row>
    <row r="15" spans="1:11" ht="20.25" x14ac:dyDescent="0.3">
      <c r="A15" s="4">
        <v>4</v>
      </c>
      <c r="B15" s="3" t="s">
        <v>973</v>
      </c>
      <c r="C15" s="103">
        <v>204209.57000000004</v>
      </c>
      <c r="D15" s="79">
        <v>6689</v>
      </c>
      <c r="E15" s="154">
        <v>33</v>
      </c>
      <c r="F15" s="103">
        <v>172104925.05999997</v>
      </c>
    </row>
    <row r="16" spans="1:11" ht="20.25" x14ac:dyDescent="0.3">
      <c r="A16" s="4">
        <v>5</v>
      </c>
      <c r="B16" s="3" t="s">
        <v>920</v>
      </c>
      <c r="C16" s="77">
        <v>42084.039999999994</v>
      </c>
      <c r="D16" s="78">
        <v>1883</v>
      </c>
      <c r="E16" s="154">
        <v>6</v>
      </c>
      <c r="F16" s="103">
        <v>52684989.379999995</v>
      </c>
    </row>
    <row r="17" spans="1:6" ht="20.25" x14ac:dyDescent="0.3">
      <c r="A17" s="4">
        <v>6</v>
      </c>
      <c r="B17" s="3" t="s">
        <v>921</v>
      </c>
      <c r="C17" s="103">
        <v>88594.11</v>
      </c>
      <c r="D17" s="79">
        <v>3358</v>
      </c>
      <c r="E17" s="154">
        <v>27</v>
      </c>
      <c r="F17" s="103">
        <v>89614434.920000017</v>
      </c>
    </row>
    <row r="18" spans="1:6" ht="20.25" x14ac:dyDescent="0.3">
      <c r="A18" s="4">
        <v>7</v>
      </c>
      <c r="B18" s="3" t="s">
        <v>922</v>
      </c>
      <c r="C18" s="103">
        <v>42597.2</v>
      </c>
      <c r="D18" s="79">
        <v>1169</v>
      </c>
      <c r="E18" s="154">
        <v>7</v>
      </c>
      <c r="F18" s="103">
        <v>31393292.599999998</v>
      </c>
    </row>
    <row r="19" spans="1:6" ht="20.25" x14ac:dyDescent="0.3">
      <c r="A19" s="4">
        <v>8</v>
      </c>
      <c r="B19" s="3" t="s">
        <v>923</v>
      </c>
      <c r="C19" s="103">
        <v>10556.800000000001</v>
      </c>
      <c r="D19" s="79">
        <v>411</v>
      </c>
      <c r="E19" s="154">
        <v>6</v>
      </c>
      <c r="F19" s="103">
        <v>35599350.520000003</v>
      </c>
    </row>
    <row r="20" spans="1:6" ht="20.25" x14ac:dyDescent="0.3">
      <c r="A20" s="4">
        <v>9</v>
      </c>
      <c r="B20" s="3" t="s">
        <v>924</v>
      </c>
      <c r="C20" s="103">
        <v>15661.67</v>
      </c>
      <c r="D20" s="79">
        <v>532</v>
      </c>
      <c r="E20" s="154">
        <v>4</v>
      </c>
      <c r="F20" s="103">
        <v>17002898.350000001</v>
      </c>
    </row>
    <row r="21" spans="1:6" ht="20.25" x14ac:dyDescent="0.3">
      <c r="A21" s="4">
        <v>10</v>
      </c>
      <c r="B21" s="3" t="s">
        <v>1392</v>
      </c>
      <c r="C21" s="103">
        <v>762</v>
      </c>
      <c r="D21" s="79">
        <v>12</v>
      </c>
      <c r="E21" s="154">
        <v>1</v>
      </c>
      <c r="F21" s="103">
        <v>509455.14</v>
      </c>
    </row>
    <row r="22" spans="1:6" ht="20.25" x14ac:dyDescent="0.3">
      <c r="A22" s="4">
        <v>11</v>
      </c>
      <c r="B22" s="3" t="s">
        <v>925</v>
      </c>
      <c r="C22" s="103">
        <v>2259.1</v>
      </c>
      <c r="D22" s="79">
        <v>104</v>
      </c>
      <c r="E22" s="154">
        <v>2</v>
      </c>
      <c r="F22" s="103">
        <v>6197385.3000000007</v>
      </c>
    </row>
    <row r="23" spans="1:6" ht="20.25" x14ac:dyDescent="0.3">
      <c r="A23" s="4">
        <v>12</v>
      </c>
      <c r="B23" s="3" t="s">
        <v>926</v>
      </c>
      <c r="C23" s="103">
        <v>4271.2</v>
      </c>
      <c r="D23" s="79">
        <v>161</v>
      </c>
      <c r="E23" s="154">
        <v>5</v>
      </c>
      <c r="F23" s="103">
        <v>12655548.699999999</v>
      </c>
    </row>
    <row r="24" spans="1:6" ht="20.25" x14ac:dyDescent="0.3">
      <c r="A24" s="4">
        <v>13</v>
      </c>
      <c r="B24" s="3" t="s">
        <v>927</v>
      </c>
      <c r="C24" s="103">
        <v>2996.9</v>
      </c>
      <c r="D24" s="79">
        <v>130</v>
      </c>
      <c r="E24" s="154">
        <v>5</v>
      </c>
      <c r="F24" s="103">
        <v>4997517.37</v>
      </c>
    </row>
    <row r="25" spans="1:6" ht="20.25" x14ac:dyDescent="0.3">
      <c r="A25" s="4">
        <v>14</v>
      </c>
      <c r="B25" s="3" t="s">
        <v>929</v>
      </c>
      <c r="C25" s="103">
        <v>3504.3</v>
      </c>
      <c r="D25" s="79">
        <v>153</v>
      </c>
      <c r="E25" s="154">
        <v>1</v>
      </c>
      <c r="F25" s="103">
        <v>2006227.2900000003</v>
      </c>
    </row>
    <row r="26" spans="1:6" ht="20.25" x14ac:dyDescent="0.3">
      <c r="A26" s="4">
        <v>15</v>
      </c>
      <c r="B26" s="3" t="s">
        <v>930</v>
      </c>
      <c r="C26" s="103">
        <v>39570.9</v>
      </c>
      <c r="D26" s="79">
        <v>1157</v>
      </c>
      <c r="E26" s="154">
        <v>17</v>
      </c>
      <c r="F26" s="103">
        <v>52327939.800000004</v>
      </c>
    </row>
    <row r="27" spans="1:6" ht="20.25" x14ac:dyDescent="0.3">
      <c r="A27" s="4">
        <v>16</v>
      </c>
      <c r="B27" s="3" t="s">
        <v>931</v>
      </c>
      <c r="C27" s="103">
        <v>12781.9</v>
      </c>
      <c r="D27" s="79">
        <v>775</v>
      </c>
      <c r="E27" s="154">
        <v>16</v>
      </c>
      <c r="F27" s="103">
        <v>34780549.410000004</v>
      </c>
    </row>
    <row r="28" spans="1:6" ht="20.25" x14ac:dyDescent="0.3">
      <c r="A28" s="4">
        <v>17</v>
      </c>
      <c r="B28" s="3" t="s">
        <v>932</v>
      </c>
      <c r="C28" s="103">
        <v>2214.1</v>
      </c>
      <c r="D28" s="79">
        <v>77</v>
      </c>
      <c r="E28" s="154">
        <v>6</v>
      </c>
      <c r="F28" s="103">
        <v>4191660.33</v>
      </c>
    </row>
    <row r="29" spans="1:6" ht="20.25" x14ac:dyDescent="0.3">
      <c r="A29" s="4">
        <v>18</v>
      </c>
      <c r="B29" s="3" t="s">
        <v>933</v>
      </c>
      <c r="C29" s="103">
        <v>2026.2</v>
      </c>
      <c r="D29" s="79">
        <v>65</v>
      </c>
      <c r="E29" s="154">
        <v>3</v>
      </c>
      <c r="F29" s="103">
        <v>5532352.54</v>
      </c>
    </row>
    <row r="30" spans="1:6" ht="20.25" x14ac:dyDescent="0.3">
      <c r="A30" s="4">
        <v>19</v>
      </c>
      <c r="B30" s="3" t="s">
        <v>991</v>
      </c>
      <c r="C30" s="103">
        <v>1746.5</v>
      </c>
      <c r="D30" s="79">
        <v>90</v>
      </c>
      <c r="E30" s="154">
        <v>2</v>
      </c>
      <c r="F30" s="103">
        <v>7840990.7699999986</v>
      </c>
    </row>
    <row r="31" spans="1:6" ht="20.25" x14ac:dyDescent="0.3">
      <c r="A31" s="4">
        <v>20</v>
      </c>
      <c r="B31" s="3" t="s">
        <v>936</v>
      </c>
      <c r="C31" s="77">
        <v>5687.8</v>
      </c>
      <c r="D31" s="78">
        <v>224</v>
      </c>
      <c r="E31" s="154">
        <v>3</v>
      </c>
      <c r="F31" s="103">
        <v>8506805.8699999992</v>
      </c>
    </row>
    <row r="32" spans="1:6" ht="20.25" x14ac:dyDescent="0.3">
      <c r="A32" s="4">
        <v>21</v>
      </c>
      <c r="B32" s="3" t="s">
        <v>978</v>
      </c>
      <c r="C32" s="77">
        <v>12399.000000000002</v>
      </c>
      <c r="D32" s="78">
        <v>454</v>
      </c>
      <c r="E32" s="154">
        <v>3</v>
      </c>
      <c r="F32" s="103">
        <v>12214042.07</v>
      </c>
    </row>
    <row r="33" spans="1:6" ht="20.25" x14ac:dyDescent="0.3">
      <c r="A33" s="4">
        <v>22</v>
      </c>
      <c r="B33" s="3" t="s">
        <v>938</v>
      </c>
      <c r="C33" s="77">
        <v>846.4</v>
      </c>
      <c r="D33" s="78">
        <v>26</v>
      </c>
      <c r="E33" s="154">
        <v>1</v>
      </c>
      <c r="F33" s="103">
        <v>5698132.5200000005</v>
      </c>
    </row>
    <row r="34" spans="1:6" ht="20.25" x14ac:dyDescent="0.3">
      <c r="A34" s="4">
        <v>23</v>
      </c>
      <c r="B34" s="3" t="s">
        <v>940</v>
      </c>
      <c r="C34" s="103">
        <v>47247.65</v>
      </c>
      <c r="D34" s="79">
        <v>1628</v>
      </c>
      <c r="E34" s="154">
        <v>15</v>
      </c>
      <c r="F34" s="103">
        <v>54424256.630000003</v>
      </c>
    </row>
    <row r="35" spans="1:6" ht="20.25" x14ac:dyDescent="0.3">
      <c r="A35" s="4">
        <v>24</v>
      </c>
      <c r="B35" s="3" t="s">
        <v>992</v>
      </c>
      <c r="C35" s="103">
        <v>2529.2999999999997</v>
      </c>
      <c r="D35" s="79">
        <v>114</v>
      </c>
      <c r="E35" s="154">
        <v>2</v>
      </c>
      <c r="F35" s="103">
        <v>2913286.51</v>
      </c>
    </row>
    <row r="36" spans="1:6" ht="20.25" x14ac:dyDescent="0.3">
      <c r="A36" s="4">
        <v>25</v>
      </c>
      <c r="B36" s="3" t="s">
        <v>993</v>
      </c>
      <c r="C36" s="103">
        <v>375</v>
      </c>
      <c r="D36" s="79">
        <v>14</v>
      </c>
      <c r="E36" s="154">
        <v>1</v>
      </c>
      <c r="F36" s="103">
        <v>2727875.44</v>
      </c>
    </row>
    <row r="37" spans="1:6" ht="20.25" x14ac:dyDescent="0.3">
      <c r="A37" s="4">
        <v>26</v>
      </c>
      <c r="B37" s="3" t="s">
        <v>994</v>
      </c>
      <c r="C37" s="103">
        <v>1156.21</v>
      </c>
      <c r="D37" s="79">
        <v>34</v>
      </c>
      <c r="E37" s="154">
        <v>1</v>
      </c>
      <c r="F37" s="103">
        <v>3866903.76</v>
      </c>
    </row>
    <row r="38" spans="1:6" ht="20.25" x14ac:dyDescent="0.3">
      <c r="A38" s="4">
        <v>27</v>
      </c>
      <c r="B38" s="3" t="s">
        <v>942</v>
      </c>
      <c r="C38" s="103">
        <v>2599.7999999999997</v>
      </c>
      <c r="D38" s="79">
        <v>115</v>
      </c>
      <c r="E38" s="154">
        <v>4</v>
      </c>
      <c r="F38" s="103">
        <v>11324422.879999999</v>
      </c>
    </row>
    <row r="39" spans="1:6" ht="20.25" x14ac:dyDescent="0.3">
      <c r="A39" s="4">
        <v>28</v>
      </c>
      <c r="B39" s="3" t="s">
        <v>943</v>
      </c>
      <c r="C39" s="77">
        <v>1157</v>
      </c>
      <c r="D39" s="78">
        <v>49</v>
      </c>
      <c r="E39" s="154">
        <v>2</v>
      </c>
      <c r="F39" s="103">
        <v>4615005.4700000007</v>
      </c>
    </row>
    <row r="40" spans="1:6" ht="20.25" x14ac:dyDescent="0.3">
      <c r="A40" s="4">
        <v>29</v>
      </c>
      <c r="B40" s="3" t="s">
        <v>941</v>
      </c>
      <c r="C40" s="104">
        <v>407.9</v>
      </c>
      <c r="D40" s="105">
        <v>24</v>
      </c>
      <c r="E40" s="154">
        <v>1</v>
      </c>
      <c r="F40" s="103">
        <v>1491809.6800000002</v>
      </c>
    </row>
    <row r="41" spans="1:6" ht="20.25" x14ac:dyDescent="0.3">
      <c r="A41" s="4">
        <v>30</v>
      </c>
      <c r="B41" s="3" t="s">
        <v>944</v>
      </c>
      <c r="C41" s="103">
        <v>2141.5</v>
      </c>
      <c r="D41" s="79">
        <v>79</v>
      </c>
      <c r="E41" s="154">
        <v>4</v>
      </c>
      <c r="F41" s="103">
        <v>7263579.6500000004</v>
      </c>
    </row>
    <row r="42" spans="1:6" ht="20.25" x14ac:dyDescent="0.3">
      <c r="A42" s="4">
        <v>31</v>
      </c>
      <c r="B42" s="3" t="s">
        <v>979</v>
      </c>
      <c r="C42" s="77">
        <v>829.4</v>
      </c>
      <c r="D42" s="78">
        <v>24</v>
      </c>
      <c r="E42" s="154">
        <v>1</v>
      </c>
      <c r="F42" s="103">
        <v>3281480.1</v>
      </c>
    </row>
    <row r="43" spans="1:6" ht="20.25" x14ac:dyDescent="0.3">
      <c r="A43" s="4">
        <v>32</v>
      </c>
      <c r="B43" s="3" t="s">
        <v>945</v>
      </c>
      <c r="C43" s="77">
        <v>9725.5</v>
      </c>
      <c r="D43" s="78">
        <v>360</v>
      </c>
      <c r="E43" s="154">
        <v>5</v>
      </c>
      <c r="F43" s="103">
        <v>18773024.589999996</v>
      </c>
    </row>
    <row r="44" spans="1:6" ht="20.25" x14ac:dyDescent="0.3">
      <c r="A44" s="4">
        <v>33</v>
      </c>
      <c r="B44" s="3" t="s">
        <v>946</v>
      </c>
      <c r="C44" s="77">
        <v>613</v>
      </c>
      <c r="D44" s="78">
        <v>33</v>
      </c>
      <c r="E44" s="154">
        <v>1</v>
      </c>
      <c r="F44" s="103">
        <v>3182125.22</v>
      </c>
    </row>
    <row r="45" spans="1:6" ht="20.25" x14ac:dyDescent="0.3">
      <c r="A45" s="4">
        <v>34</v>
      </c>
      <c r="B45" s="3" t="s">
        <v>980</v>
      </c>
      <c r="C45" s="77">
        <v>320</v>
      </c>
      <c r="D45" s="78">
        <v>21</v>
      </c>
      <c r="E45" s="154">
        <v>1</v>
      </c>
      <c r="F45" s="103">
        <v>522383.64</v>
      </c>
    </row>
    <row r="46" spans="1:6" ht="20.25" x14ac:dyDescent="0.3">
      <c r="A46" s="4">
        <v>35</v>
      </c>
      <c r="B46" s="3" t="s">
        <v>948</v>
      </c>
      <c r="C46" s="103">
        <v>6463.98</v>
      </c>
      <c r="D46" s="79">
        <v>243</v>
      </c>
      <c r="E46" s="154">
        <v>5</v>
      </c>
      <c r="F46" s="103">
        <v>19350948.300000001</v>
      </c>
    </row>
    <row r="47" spans="1:6" ht="20.25" x14ac:dyDescent="0.3">
      <c r="A47" s="4">
        <v>36</v>
      </c>
      <c r="B47" s="3" t="s">
        <v>951</v>
      </c>
      <c r="C47" s="77">
        <v>2767.4</v>
      </c>
      <c r="D47" s="78">
        <v>148</v>
      </c>
      <c r="E47" s="154">
        <v>1</v>
      </c>
      <c r="F47" s="103">
        <v>5141890.2</v>
      </c>
    </row>
    <row r="48" spans="1:6" ht="20.25" x14ac:dyDescent="0.3">
      <c r="A48" s="4">
        <v>37</v>
      </c>
      <c r="B48" s="3" t="s">
        <v>957</v>
      </c>
      <c r="C48" s="77">
        <v>21697.839999999997</v>
      </c>
      <c r="D48" s="78">
        <v>751</v>
      </c>
      <c r="E48" s="154">
        <v>4</v>
      </c>
      <c r="F48" s="103">
        <v>21692861.549999997</v>
      </c>
    </row>
    <row r="49" spans="1:6" ht="20.25" x14ac:dyDescent="0.3">
      <c r="A49" s="4">
        <v>38</v>
      </c>
      <c r="B49" s="3" t="s">
        <v>952</v>
      </c>
      <c r="C49" s="77">
        <v>21187.5</v>
      </c>
      <c r="D49" s="78">
        <v>986</v>
      </c>
      <c r="E49" s="154">
        <v>7</v>
      </c>
      <c r="F49" s="103">
        <v>33530692.979999997</v>
      </c>
    </row>
    <row r="50" spans="1:6" ht="20.25" x14ac:dyDescent="0.3">
      <c r="A50" s="4">
        <v>39</v>
      </c>
      <c r="B50" s="3" t="s">
        <v>953</v>
      </c>
      <c r="C50" s="77">
        <v>5121.21</v>
      </c>
      <c r="D50" s="78">
        <v>162</v>
      </c>
      <c r="E50" s="154">
        <v>5</v>
      </c>
      <c r="F50" s="103">
        <v>10749617.66</v>
      </c>
    </row>
    <row r="51" spans="1:6" ht="20.25" x14ac:dyDescent="0.3">
      <c r="A51" s="4">
        <v>40</v>
      </c>
      <c r="B51" s="3" t="s">
        <v>954</v>
      </c>
      <c r="C51" s="77">
        <v>1488.6</v>
      </c>
      <c r="D51" s="78">
        <v>67</v>
      </c>
      <c r="E51" s="154">
        <v>2</v>
      </c>
      <c r="F51" s="103">
        <v>5174634.9800000004</v>
      </c>
    </row>
    <row r="52" spans="1:6" ht="20.25" x14ac:dyDescent="0.3">
      <c r="A52" s="4">
        <v>41</v>
      </c>
      <c r="B52" s="3" t="s">
        <v>956</v>
      </c>
      <c r="C52" s="77">
        <v>14074.8</v>
      </c>
      <c r="D52" s="78">
        <v>602</v>
      </c>
      <c r="E52" s="154">
        <v>9</v>
      </c>
      <c r="F52" s="103">
        <v>28248063.09</v>
      </c>
    </row>
    <row r="53" spans="1:6" ht="20.25" x14ac:dyDescent="0.3">
      <c r="A53" s="4">
        <v>42</v>
      </c>
      <c r="B53" s="3" t="s">
        <v>983</v>
      </c>
      <c r="C53" s="77">
        <v>609.5</v>
      </c>
      <c r="D53" s="78">
        <v>16</v>
      </c>
      <c r="E53" s="154">
        <v>1</v>
      </c>
      <c r="F53" s="103">
        <v>2521615.3599999999</v>
      </c>
    </row>
    <row r="54" spans="1:6" ht="20.25" x14ac:dyDescent="0.3">
      <c r="A54" s="4">
        <v>43</v>
      </c>
      <c r="B54" s="3" t="s">
        <v>955</v>
      </c>
      <c r="C54" s="77">
        <v>878.6</v>
      </c>
      <c r="D54" s="78">
        <v>65</v>
      </c>
      <c r="E54" s="154">
        <v>1</v>
      </c>
      <c r="F54" s="103">
        <v>3623254.4499999997</v>
      </c>
    </row>
    <row r="55" spans="1:6" ht="20.25" x14ac:dyDescent="0.3">
      <c r="A55" s="4">
        <v>44</v>
      </c>
      <c r="B55" s="3" t="s">
        <v>958</v>
      </c>
      <c r="C55" s="103">
        <v>940.6</v>
      </c>
      <c r="D55" s="79">
        <v>33</v>
      </c>
      <c r="E55" s="154">
        <v>1</v>
      </c>
      <c r="F55" s="103">
        <v>5198352.66</v>
      </c>
    </row>
    <row r="56" spans="1:6" ht="20.25" x14ac:dyDescent="0.3">
      <c r="A56" s="4">
        <v>45</v>
      </c>
      <c r="B56" s="3" t="s">
        <v>995</v>
      </c>
      <c r="C56" s="103">
        <v>320</v>
      </c>
      <c r="D56" s="79">
        <v>19</v>
      </c>
      <c r="E56" s="154">
        <v>1</v>
      </c>
      <c r="F56" s="103">
        <v>1821119.2799999998</v>
      </c>
    </row>
    <row r="57" spans="1:6" ht="20.25" x14ac:dyDescent="0.3">
      <c r="A57" s="4">
        <v>46</v>
      </c>
      <c r="B57" s="3" t="s">
        <v>1393</v>
      </c>
      <c r="C57" s="103">
        <v>953.9</v>
      </c>
      <c r="D57" s="79">
        <v>28</v>
      </c>
      <c r="E57" s="154">
        <v>1</v>
      </c>
      <c r="F57" s="103">
        <v>4974970.34</v>
      </c>
    </row>
    <row r="58" spans="1:6" ht="20.25" x14ac:dyDescent="0.3">
      <c r="A58" s="4">
        <v>47</v>
      </c>
      <c r="B58" s="3" t="s">
        <v>984</v>
      </c>
      <c r="C58" s="103">
        <v>1446.38</v>
      </c>
      <c r="D58" s="79">
        <v>93</v>
      </c>
      <c r="E58" s="154">
        <v>1</v>
      </c>
      <c r="F58" s="103">
        <v>5368567.4000000004</v>
      </c>
    </row>
    <row r="59" spans="1:6" ht="20.25" x14ac:dyDescent="0.3">
      <c r="A59" s="4">
        <v>48</v>
      </c>
      <c r="B59" s="3" t="s">
        <v>996</v>
      </c>
      <c r="C59" s="77">
        <v>676.3</v>
      </c>
      <c r="D59" s="78">
        <v>33</v>
      </c>
      <c r="E59" s="154">
        <v>1</v>
      </c>
      <c r="F59" s="103">
        <v>2682382.0500000003</v>
      </c>
    </row>
    <row r="60" spans="1:6" ht="20.25" x14ac:dyDescent="0.3">
      <c r="A60" s="4">
        <v>49</v>
      </c>
      <c r="B60" s="3" t="s">
        <v>961</v>
      </c>
      <c r="C60" s="104">
        <v>3415.58</v>
      </c>
      <c r="D60" s="105">
        <v>141</v>
      </c>
      <c r="E60" s="154">
        <v>5</v>
      </c>
      <c r="F60" s="103">
        <v>11742480.740000002</v>
      </c>
    </row>
    <row r="61" spans="1:6" ht="20.25" x14ac:dyDescent="0.3">
      <c r="A61" s="4">
        <v>50</v>
      </c>
      <c r="B61" s="3" t="s">
        <v>986</v>
      </c>
      <c r="C61" s="103">
        <f>Перечень!I467</f>
        <v>39848.200000000004</v>
      </c>
      <c r="D61" s="79">
        <f>Перечень!L467</f>
        <v>1332</v>
      </c>
      <c r="E61" s="154">
        <v>11</v>
      </c>
      <c r="F61" s="103">
        <f>Перечень!P467</f>
        <v>40245217.780000009</v>
      </c>
    </row>
    <row r="62" spans="1:6" ht="20.25" x14ac:dyDescent="0.3">
      <c r="A62" s="4">
        <v>51</v>
      </c>
      <c r="B62" s="3" t="s">
        <v>962</v>
      </c>
      <c r="C62" s="77">
        <v>33276.850000000006</v>
      </c>
      <c r="D62" s="78">
        <v>1281</v>
      </c>
      <c r="E62" s="154">
        <v>8</v>
      </c>
      <c r="F62" s="103">
        <v>34433820.410000004</v>
      </c>
    </row>
    <row r="63" spans="1:6" ht="20.25" x14ac:dyDescent="0.3">
      <c r="A63" s="4">
        <v>52</v>
      </c>
      <c r="B63" s="3" t="s">
        <v>1394</v>
      </c>
      <c r="C63" s="77">
        <v>720.74</v>
      </c>
      <c r="D63" s="78">
        <v>19</v>
      </c>
      <c r="E63" s="154">
        <v>1</v>
      </c>
      <c r="F63" s="103">
        <v>1499263.62</v>
      </c>
    </row>
    <row r="64" spans="1:6" ht="20.25" x14ac:dyDescent="0.3">
      <c r="A64" s="4">
        <v>53</v>
      </c>
      <c r="B64" s="3" t="s">
        <v>1391</v>
      </c>
      <c r="C64" s="77">
        <v>970.5</v>
      </c>
      <c r="D64" s="78">
        <v>38</v>
      </c>
      <c r="E64" s="154">
        <v>1</v>
      </c>
      <c r="F64" s="103">
        <v>474650.14999999997</v>
      </c>
    </row>
    <row r="65" spans="1:10" ht="20.25" x14ac:dyDescent="0.3">
      <c r="A65" s="4">
        <v>54</v>
      </c>
      <c r="B65" s="3" t="s">
        <v>963</v>
      </c>
      <c r="C65" s="77">
        <v>3040.6</v>
      </c>
      <c r="D65" s="78">
        <v>115</v>
      </c>
      <c r="E65" s="154">
        <v>5</v>
      </c>
      <c r="F65" s="103">
        <v>11363935.41</v>
      </c>
    </row>
    <row r="66" spans="1:10" ht="20.25" x14ac:dyDescent="0.3">
      <c r="A66" s="4">
        <v>55</v>
      </c>
      <c r="B66" s="3" t="s">
        <v>964</v>
      </c>
      <c r="C66" s="103">
        <v>1191.0999999999999</v>
      </c>
      <c r="D66" s="79">
        <v>31</v>
      </c>
      <c r="E66" s="154">
        <v>1</v>
      </c>
      <c r="F66" s="103">
        <v>2887801.05</v>
      </c>
    </row>
    <row r="67" spans="1:10" ht="20.25" x14ac:dyDescent="0.3">
      <c r="A67" s="4">
        <v>56</v>
      </c>
      <c r="B67" s="3" t="s">
        <v>965</v>
      </c>
      <c r="C67" s="77">
        <v>706</v>
      </c>
      <c r="D67" s="78">
        <v>41</v>
      </c>
      <c r="E67" s="154">
        <v>1</v>
      </c>
      <c r="F67" s="103">
        <v>2743113.54</v>
      </c>
    </row>
    <row r="68" spans="1:10" ht="20.25" x14ac:dyDescent="0.3">
      <c r="A68" s="4">
        <v>57</v>
      </c>
      <c r="B68" s="3" t="s">
        <v>966</v>
      </c>
      <c r="C68" s="77">
        <v>2609.1000000000004</v>
      </c>
      <c r="D68" s="78">
        <v>98</v>
      </c>
      <c r="E68" s="154">
        <v>2</v>
      </c>
      <c r="F68" s="103">
        <v>5746431.5800000001</v>
      </c>
    </row>
    <row r="69" spans="1:10" ht="20.25" x14ac:dyDescent="0.3">
      <c r="A69" s="4">
        <v>58</v>
      </c>
      <c r="B69" s="3" t="s">
        <v>988</v>
      </c>
      <c r="C69" s="77">
        <v>702.7</v>
      </c>
      <c r="D69" s="78">
        <v>34</v>
      </c>
      <c r="E69" s="154">
        <v>1</v>
      </c>
      <c r="F69" s="103">
        <v>2598169.9500000002</v>
      </c>
    </row>
    <row r="70" spans="1:10" ht="20.25" x14ac:dyDescent="0.3">
      <c r="A70" s="4">
        <v>59</v>
      </c>
      <c r="B70" s="3" t="s">
        <v>1395</v>
      </c>
      <c r="C70" s="77">
        <v>853.8</v>
      </c>
      <c r="D70" s="78">
        <v>38</v>
      </c>
      <c r="E70" s="154">
        <v>1</v>
      </c>
      <c r="F70" s="103">
        <v>2309984.35</v>
      </c>
    </row>
    <row r="71" spans="1:10" ht="20.25" x14ac:dyDescent="0.3">
      <c r="A71" s="4">
        <v>60</v>
      </c>
      <c r="B71" s="3" t="s">
        <v>967</v>
      </c>
      <c r="C71" s="77">
        <v>3456.2</v>
      </c>
      <c r="D71" s="78">
        <v>132</v>
      </c>
      <c r="E71" s="154">
        <v>6</v>
      </c>
      <c r="F71" s="103">
        <v>7966049.0899999989</v>
      </c>
    </row>
    <row r="72" spans="1:10" ht="20.25" x14ac:dyDescent="0.3">
      <c r="A72" s="4">
        <v>61</v>
      </c>
      <c r="B72" s="3" t="s">
        <v>968</v>
      </c>
      <c r="C72" s="77">
        <v>1755.2</v>
      </c>
      <c r="D72" s="78">
        <v>63</v>
      </c>
      <c r="E72" s="154">
        <v>1</v>
      </c>
      <c r="F72" s="103">
        <v>4880587.2799999993</v>
      </c>
    </row>
    <row r="73" spans="1:10" ht="20.25" x14ac:dyDescent="0.3">
      <c r="A73" s="4">
        <v>62</v>
      </c>
      <c r="B73" s="3" t="s">
        <v>989</v>
      </c>
      <c r="C73" s="77">
        <v>4920.8999999999996</v>
      </c>
      <c r="D73" s="78">
        <v>133</v>
      </c>
      <c r="E73" s="154">
        <v>2</v>
      </c>
      <c r="F73" s="103">
        <v>8593030.2200000007</v>
      </c>
    </row>
    <row r="74" spans="1:10" ht="20.25" x14ac:dyDescent="0.3">
      <c r="A74" s="4">
        <v>63</v>
      </c>
      <c r="B74" s="3" t="s">
        <v>969</v>
      </c>
      <c r="C74" s="77">
        <v>428.4</v>
      </c>
      <c r="D74" s="78">
        <v>20</v>
      </c>
      <c r="E74" s="154">
        <v>1</v>
      </c>
      <c r="F74" s="103">
        <v>2644709.0300000003</v>
      </c>
    </row>
    <row r="75" spans="1:10" ht="20.25" x14ac:dyDescent="0.3">
      <c r="A75" s="4">
        <v>64</v>
      </c>
      <c r="B75" s="3" t="s">
        <v>971</v>
      </c>
      <c r="C75" s="77">
        <v>11982.3</v>
      </c>
      <c r="D75" s="78">
        <v>561</v>
      </c>
      <c r="E75" s="154">
        <v>8</v>
      </c>
      <c r="F75" s="103">
        <v>18642577.799999997</v>
      </c>
    </row>
    <row r="76" spans="1:10" ht="20.25" x14ac:dyDescent="0.3">
      <c r="A76" s="4">
        <v>65</v>
      </c>
      <c r="B76" s="3" t="s">
        <v>972</v>
      </c>
      <c r="C76" s="77">
        <v>3295.2</v>
      </c>
      <c r="D76" s="78">
        <v>81</v>
      </c>
      <c r="E76" s="154">
        <v>5</v>
      </c>
      <c r="F76" s="103">
        <v>7943688.4699999988</v>
      </c>
    </row>
    <row r="77" spans="1:10" ht="20.25" x14ac:dyDescent="0.3">
      <c r="A77" s="4">
        <v>66</v>
      </c>
      <c r="B77" s="3" t="s">
        <v>997</v>
      </c>
      <c r="C77" s="77">
        <v>1634.9</v>
      </c>
      <c r="D77" s="78">
        <v>75</v>
      </c>
      <c r="E77" s="154">
        <v>3</v>
      </c>
      <c r="F77" s="103">
        <v>917252.46000000008</v>
      </c>
    </row>
    <row r="78" spans="1:10" ht="20.25" x14ac:dyDescent="0.3">
      <c r="A78" s="4">
        <v>67</v>
      </c>
      <c r="B78" s="3" t="s">
        <v>990</v>
      </c>
      <c r="C78" s="77">
        <v>317.39999999999998</v>
      </c>
      <c r="D78" s="78">
        <v>17</v>
      </c>
      <c r="E78" s="154">
        <v>1</v>
      </c>
      <c r="F78" s="103">
        <v>1455782.0000000002</v>
      </c>
    </row>
    <row r="79" spans="1:10" ht="20.25" x14ac:dyDescent="0.3">
      <c r="A79" s="3" t="s">
        <v>779</v>
      </c>
      <c r="B79" s="3"/>
      <c r="C79" s="77">
        <f>SUM(C80:C137)</f>
        <v>863114.3400000002</v>
      </c>
      <c r="D79" s="78">
        <f>SUM(D80:D137)</f>
        <v>34009.19</v>
      </c>
      <c r="E79" s="154">
        <f>SUM(E80:E137)</f>
        <v>352</v>
      </c>
      <c r="F79" s="77">
        <f>SUM(F80:F137)</f>
        <v>957770537.6500001</v>
      </c>
    </row>
    <row r="80" spans="1:10" ht="20.25" x14ac:dyDescent="0.3">
      <c r="A80" s="4">
        <v>1</v>
      </c>
      <c r="B80" s="3" t="s">
        <v>1011</v>
      </c>
      <c r="C80" s="77">
        <v>432019.55000000005</v>
      </c>
      <c r="D80" s="78">
        <v>17615</v>
      </c>
      <c r="E80" s="154">
        <v>132</v>
      </c>
      <c r="F80" s="103">
        <f>Реестр!D551</f>
        <v>282309035.2899999</v>
      </c>
      <c r="H80" s="6">
        <v>209231.22999999995</v>
      </c>
      <c r="I80" s="6">
        <v>8552</v>
      </c>
      <c r="J80" s="6">
        <v>216853215.43000004</v>
      </c>
    </row>
    <row r="81" spans="1:10" ht="20.25" x14ac:dyDescent="0.3">
      <c r="A81" s="4">
        <v>2</v>
      </c>
      <c r="B81" s="3" t="s">
        <v>917</v>
      </c>
      <c r="C81" s="77">
        <f>Перечень!I678</f>
        <v>20657.699999999997</v>
      </c>
      <c r="D81" s="78">
        <f>Перечень!L678</f>
        <v>862</v>
      </c>
      <c r="E81" s="154">
        <v>18</v>
      </c>
      <c r="F81" s="103">
        <f>Реестр!D684</f>
        <v>61321206.579999998</v>
      </c>
      <c r="H81" s="6">
        <v>15519.199999999999</v>
      </c>
      <c r="I81" s="6">
        <v>787</v>
      </c>
      <c r="J81" s="6">
        <v>45048314.759999998</v>
      </c>
    </row>
    <row r="82" spans="1:10" ht="20.25" x14ac:dyDescent="0.3">
      <c r="A82" s="4">
        <v>3</v>
      </c>
      <c r="B82" s="3" t="s">
        <v>918</v>
      </c>
      <c r="C82" s="77">
        <v>108368.81999999998</v>
      </c>
      <c r="D82" s="78">
        <v>4466</v>
      </c>
      <c r="E82" s="154">
        <v>61</v>
      </c>
      <c r="F82" s="103">
        <v>119543691.27</v>
      </c>
      <c r="H82" s="6">
        <v>55253.150000000009</v>
      </c>
      <c r="I82" s="6">
        <v>2316</v>
      </c>
      <c r="J82" s="6">
        <v>91626897.959999993</v>
      </c>
    </row>
    <row r="83" spans="1:10" ht="20.25" x14ac:dyDescent="0.3">
      <c r="A83" s="4">
        <v>4</v>
      </c>
      <c r="B83" s="3" t="s">
        <v>973</v>
      </c>
      <c r="C83" s="77">
        <v>78441.91</v>
      </c>
      <c r="D83" s="78">
        <v>2504</v>
      </c>
      <c r="E83" s="154">
        <v>22</v>
      </c>
      <c r="F83" s="103">
        <v>55130603.349999994</v>
      </c>
      <c r="H83" s="6">
        <v>26773.05</v>
      </c>
      <c r="I83" s="6">
        <v>869</v>
      </c>
      <c r="J83" s="6">
        <v>44137673.120000005</v>
      </c>
    </row>
    <row r="84" spans="1:10" ht="20.25" x14ac:dyDescent="0.3">
      <c r="A84" s="4">
        <v>5</v>
      </c>
      <c r="B84" s="3" t="s">
        <v>920</v>
      </c>
      <c r="C84" s="77">
        <v>16386.399999999998</v>
      </c>
      <c r="D84" s="78">
        <v>704</v>
      </c>
      <c r="E84" s="154">
        <v>3</v>
      </c>
      <c r="F84" s="103">
        <v>21856214.649999999</v>
      </c>
      <c r="H84" s="6">
        <v>13712.7</v>
      </c>
      <c r="I84" s="6">
        <v>336</v>
      </c>
      <c r="J84" s="6">
        <v>21856214.650000002</v>
      </c>
    </row>
    <row r="85" spans="1:10" ht="20.25" x14ac:dyDescent="0.3">
      <c r="A85" s="4">
        <v>6</v>
      </c>
      <c r="B85" s="3" t="s">
        <v>921</v>
      </c>
      <c r="C85" s="77">
        <v>41178.209999999992</v>
      </c>
      <c r="D85" s="78">
        <v>1511</v>
      </c>
      <c r="E85" s="154">
        <v>18</v>
      </c>
      <c r="F85" s="103">
        <v>82591708.530000001</v>
      </c>
      <c r="H85" s="6">
        <v>45913.430000000008</v>
      </c>
      <c r="I85" s="6">
        <v>1959</v>
      </c>
      <c r="J85" s="6">
        <v>51679396.32</v>
      </c>
    </row>
    <row r="86" spans="1:10" ht="20.25" x14ac:dyDescent="0.3">
      <c r="A86" s="4">
        <v>7</v>
      </c>
      <c r="B86" s="3" t="s">
        <v>922</v>
      </c>
      <c r="C86" s="77">
        <v>12179.5</v>
      </c>
      <c r="D86" s="78">
        <v>420</v>
      </c>
      <c r="E86" s="154">
        <v>2</v>
      </c>
      <c r="F86" s="103">
        <v>10075097.600000001</v>
      </c>
      <c r="H86" s="6">
        <v>11170.900000000001</v>
      </c>
      <c r="I86" s="6">
        <v>305</v>
      </c>
      <c r="J86" s="6">
        <v>9890638.1399999987</v>
      </c>
    </row>
    <row r="87" spans="1:10" ht="20.25" x14ac:dyDescent="0.3">
      <c r="A87" s="4">
        <v>8</v>
      </c>
      <c r="B87" s="3" t="s">
        <v>923</v>
      </c>
      <c r="C87" s="77">
        <v>3741.9999999999995</v>
      </c>
      <c r="D87" s="78">
        <v>153</v>
      </c>
      <c r="E87" s="154">
        <v>4</v>
      </c>
      <c r="F87" s="103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 x14ac:dyDescent="0.3">
      <c r="A88" s="4">
        <v>9</v>
      </c>
      <c r="B88" s="3" t="s">
        <v>924</v>
      </c>
      <c r="C88" s="77">
        <v>6782.4000000000005</v>
      </c>
      <c r="D88" s="78">
        <v>246</v>
      </c>
      <c r="E88" s="154">
        <v>2</v>
      </c>
      <c r="F88" s="103">
        <v>9045880.0099999998</v>
      </c>
      <c r="H88" s="6">
        <v>8897</v>
      </c>
      <c r="I88" s="6">
        <v>313</v>
      </c>
      <c r="J88" s="6">
        <v>9642280</v>
      </c>
    </row>
    <row r="89" spans="1:10" ht="20.25" x14ac:dyDescent="0.3">
      <c r="A89" s="4">
        <v>10</v>
      </c>
      <c r="B89" s="3" t="s">
        <v>925</v>
      </c>
      <c r="C89" s="77">
        <v>2780.7</v>
      </c>
      <c r="D89" s="78">
        <v>103</v>
      </c>
      <c r="E89" s="154">
        <v>1</v>
      </c>
      <c r="F89" s="103">
        <v>2579501.7000000002</v>
      </c>
      <c r="H89" s="6">
        <v>804.5</v>
      </c>
      <c r="I89" s="6">
        <v>47</v>
      </c>
      <c r="J89" s="6">
        <v>4369866.08</v>
      </c>
    </row>
    <row r="90" spans="1:10" ht="20.25" x14ac:dyDescent="0.3">
      <c r="A90" s="4">
        <v>11</v>
      </c>
      <c r="B90" s="3" t="s">
        <v>927</v>
      </c>
      <c r="C90" s="77">
        <v>983.7</v>
      </c>
      <c r="D90" s="78">
        <v>39</v>
      </c>
      <c r="E90" s="154">
        <v>2</v>
      </c>
      <c r="F90" s="103">
        <v>3008567.42</v>
      </c>
      <c r="H90" s="6">
        <v>1070.8</v>
      </c>
      <c r="I90" s="6">
        <v>42</v>
      </c>
      <c r="J90" s="6">
        <v>2936950.21</v>
      </c>
    </row>
    <row r="91" spans="1:10" ht="20.25" x14ac:dyDescent="0.3">
      <c r="A91" s="4">
        <v>12</v>
      </c>
      <c r="B91" s="3" t="s">
        <v>974</v>
      </c>
      <c r="C91" s="77">
        <v>618.29999999999995</v>
      </c>
      <c r="D91" s="78">
        <v>30</v>
      </c>
      <c r="E91" s="154">
        <v>1</v>
      </c>
      <c r="F91" s="103">
        <v>3080948</v>
      </c>
      <c r="H91" s="6">
        <v>1426.8</v>
      </c>
      <c r="I91" s="6">
        <v>72</v>
      </c>
      <c r="J91" s="6">
        <v>2773728.46</v>
      </c>
    </row>
    <row r="92" spans="1:10" ht="20.25" x14ac:dyDescent="0.3">
      <c r="A92" s="4">
        <v>13</v>
      </c>
      <c r="B92" s="3" t="s">
        <v>929</v>
      </c>
      <c r="C92" s="77">
        <v>3085.8</v>
      </c>
      <c r="D92" s="78">
        <v>144</v>
      </c>
      <c r="E92" s="154">
        <v>1</v>
      </c>
      <c r="F92" s="103">
        <v>2000000</v>
      </c>
      <c r="H92" s="6">
        <v>456.6</v>
      </c>
      <c r="I92" s="6">
        <v>26</v>
      </c>
      <c r="J92" s="6">
        <v>2158336.3499999996</v>
      </c>
    </row>
    <row r="93" spans="1:10" ht="20.25" x14ac:dyDescent="0.3">
      <c r="A93" s="4">
        <v>14</v>
      </c>
      <c r="B93" s="3" t="s">
        <v>930</v>
      </c>
      <c r="C93" s="77">
        <v>16441</v>
      </c>
      <c r="D93" s="78">
        <v>486</v>
      </c>
      <c r="E93" s="154">
        <v>6</v>
      </c>
      <c r="F93" s="103">
        <v>23342012.82</v>
      </c>
      <c r="H93" s="6">
        <v>3374.6</v>
      </c>
      <c r="I93" s="6">
        <v>144</v>
      </c>
      <c r="J93" s="6">
        <v>2000000</v>
      </c>
    </row>
    <row r="94" spans="1:10" ht="20.25" x14ac:dyDescent="0.3">
      <c r="A94" s="4">
        <v>15</v>
      </c>
      <c r="B94" s="3" t="s">
        <v>931</v>
      </c>
      <c r="C94" s="77">
        <v>6796.31</v>
      </c>
      <c r="D94" s="78">
        <v>274</v>
      </c>
      <c r="E94" s="154">
        <v>5</v>
      </c>
      <c r="F94" s="103">
        <v>17079093.490000002</v>
      </c>
      <c r="H94" s="6">
        <v>13638.6</v>
      </c>
      <c r="I94" s="6">
        <v>299</v>
      </c>
      <c r="J94" s="6">
        <v>23342011.919999998</v>
      </c>
    </row>
    <row r="95" spans="1:10" ht="20.25" x14ac:dyDescent="0.3">
      <c r="A95" s="4">
        <v>16</v>
      </c>
      <c r="B95" s="3" t="s">
        <v>1396</v>
      </c>
      <c r="C95" s="77">
        <v>1322.4</v>
      </c>
      <c r="D95" s="78">
        <v>36</v>
      </c>
      <c r="E95" s="154">
        <v>1</v>
      </c>
      <c r="F95" s="103">
        <v>3284631.43</v>
      </c>
      <c r="H95" s="6">
        <v>5759.0999999999995</v>
      </c>
      <c r="I95" s="6">
        <v>215</v>
      </c>
      <c r="J95" s="6">
        <v>12591900</v>
      </c>
    </row>
    <row r="96" spans="1:10" ht="20.25" x14ac:dyDescent="0.3">
      <c r="A96" s="4">
        <v>17</v>
      </c>
      <c r="B96" s="3" t="s">
        <v>975</v>
      </c>
      <c r="C96" s="77">
        <v>924.3</v>
      </c>
      <c r="D96" s="78">
        <v>24</v>
      </c>
      <c r="E96" s="154">
        <v>1</v>
      </c>
      <c r="F96" s="103">
        <v>2255220</v>
      </c>
      <c r="H96" s="6">
        <v>396.2</v>
      </c>
      <c r="I96" s="6">
        <v>21</v>
      </c>
      <c r="J96" s="6">
        <v>1724820</v>
      </c>
    </row>
    <row r="97" spans="1:10" ht="20.25" x14ac:dyDescent="0.3">
      <c r="A97" s="4">
        <v>18</v>
      </c>
      <c r="B97" s="3" t="s">
        <v>976</v>
      </c>
      <c r="C97" s="77">
        <v>622.4</v>
      </c>
      <c r="D97" s="78">
        <v>35</v>
      </c>
      <c r="E97" s="154">
        <v>1</v>
      </c>
      <c r="F97" s="103">
        <v>2610900</v>
      </c>
      <c r="H97" s="6">
        <v>1011.8</v>
      </c>
      <c r="I97" s="6">
        <v>26</v>
      </c>
      <c r="J97" s="6">
        <v>1739107.3499999999</v>
      </c>
    </row>
    <row r="98" spans="1:10" ht="20.25" x14ac:dyDescent="0.3">
      <c r="A98" s="4">
        <v>19</v>
      </c>
      <c r="B98" s="3" t="s">
        <v>977</v>
      </c>
      <c r="C98" s="77">
        <v>531.9</v>
      </c>
      <c r="D98" s="78">
        <v>22</v>
      </c>
      <c r="E98" s="154">
        <v>1</v>
      </c>
      <c r="F98" s="103">
        <v>3133080</v>
      </c>
      <c r="H98" s="6">
        <v>594.20000000000005</v>
      </c>
      <c r="I98" s="6">
        <v>23</v>
      </c>
      <c r="J98" s="6">
        <v>3373804.98</v>
      </c>
    </row>
    <row r="99" spans="1:10" ht="20.25" x14ac:dyDescent="0.3">
      <c r="A99" s="4">
        <v>20</v>
      </c>
      <c r="B99" s="3" t="s">
        <v>936</v>
      </c>
      <c r="C99" s="77">
        <v>7845.75</v>
      </c>
      <c r="D99" s="78">
        <v>225</v>
      </c>
      <c r="E99" s="154">
        <v>1</v>
      </c>
      <c r="F99" s="103">
        <v>8458120</v>
      </c>
      <c r="H99" s="6">
        <v>906.9</v>
      </c>
      <c r="I99" s="6">
        <v>32</v>
      </c>
      <c r="J99" s="6">
        <v>3916350</v>
      </c>
    </row>
    <row r="100" spans="1:10" ht="20.25" x14ac:dyDescent="0.3">
      <c r="A100" s="4">
        <v>21</v>
      </c>
      <c r="B100" s="3" t="s">
        <v>937</v>
      </c>
      <c r="C100" s="77">
        <v>550.20000000000005</v>
      </c>
      <c r="D100" s="78">
        <v>20</v>
      </c>
      <c r="E100" s="154">
        <v>1</v>
      </c>
      <c r="F100" s="103">
        <v>2537436</v>
      </c>
      <c r="H100" s="6">
        <v>2184</v>
      </c>
      <c r="I100" s="6">
        <v>57</v>
      </c>
      <c r="J100" s="6">
        <v>3516578.96</v>
      </c>
    </row>
    <row r="101" spans="1:10" ht="20.25" x14ac:dyDescent="0.3">
      <c r="A101" s="4">
        <v>22</v>
      </c>
      <c r="B101" s="3" t="s">
        <v>978</v>
      </c>
      <c r="C101" s="77">
        <v>1206.8</v>
      </c>
      <c r="D101" s="78">
        <v>30</v>
      </c>
      <c r="E101" s="154">
        <v>1</v>
      </c>
      <c r="F101" s="103">
        <v>2968784.92</v>
      </c>
      <c r="H101" s="6">
        <v>1069.5</v>
      </c>
      <c r="I101" s="6">
        <v>39</v>
      </c>
      <c r="J101" s="6">
        <v>3598749.4899999998</v>
      </c>
    </row>
    <row r="102" spans="1:10" ht="20.25" x14ac:dyDescent="0.3">
      <c r="A102" s="4">
        <v>23</v>
      </c>
      <c r="B102" s="3" t="s">
        <v>940</v>
      </c>
      <c r="C102" s="77">
        <v>14693.869999999999</v>
      </c>
      <c r="D102" s="78">
        <v>542</v>
      </c>
      <c r="E102" s="154">
        <v>8</v>
      </c>
      <c r="F102" s="103">
        <v>30717231.84</v>
      </c>
      <c r="H102" s="6">
        <v>630</v>
      </c>
      <c r="I102" s="6">
        <v>32</v>
      </c>
      <c r="J102" s="6">
        <v>3488946.79</v>
      </c>
    </row>
    <row r="103" spans="1:10" ht="20.25" x14ac:dyDescent="0.3">
      <c r="A103" s="4">
        <v>24</v>
      </c>
      <c r="B103" s="3" t="s">
        <v>944</v>
      </c>
      <c r="C103" s="77">
        <v>791.5</v>
      </c>
      <c r="D103" s="78">
        <v>42</v>
      </c>
      <c r="E103" s="154">
        <v>1</v>
      </c>
      <c r="F103" s="103">
        <v>3328825.5</v>
      </c>
      <c r="H103" s="6">
        <v>626.5</v>
      </c>
      <c r="I103" s="6">
        <v>23</v>
      </c>
      <c r="J103" s="6">
        <v>1538879.17</v>
      </c>
    </row>
    <row r="104" spans="1:10" ht="20.25" x14ac:dyDescent="0.3">
      <c r="A104" s="4">
        <v>25</v>
      </c>
      <c r="B104" s="3" t="s">
        <v>943</v>
      </c>
      <c r="C104" s="77">
        <v>910.90000000000009</v>
      </c>
      <c r="D104" s="78">
        <v>39</v>
      </c>
      <c r="E104" s="154">
        <v>2</v>
      </c>
      <c r="F104" s="103">
        <v>5279138.41</v>
      </c>
      <c r="H104" s="6">
        <v>20161.96</v>
      </c>
      <c r="I104" s="6">
        <v>621</v>
      </c>
      <c r="J104" s="6">
        <v>28415186.600000001</v>
      </c>
    </row>
    <row r="105" spans="1:10" ht="20.25" x14ac:dyDescent="0.3">
      <c r="A105" s="4">
        <v>26</v>
      </c>
      <c r="B105" s="3" t="s">
        <v>979</v>
      </c>
      <c r="C105" s="77">
        <v>960.39</v>
      </c>
      <c r="D105" s="78">
        <v>48</v>
      </c>
      <c r="E105" s="154">
        <v>1</v>
      </c>
      <c r="F105" s="103">
        <v>4178956.32</v>
      </c>
      <c r="H105" s="6">
        <v>1573</v>
      </c>
      <c r="I105" s="6">
        <v>68</v>
      </c>
      <c r="J105" s="6">
        <v>5777967.8699999992</v>
      </c>
    </row>
    <row r="106" spans="1:10" ht="20.25" x14ac:dyDescent="0.3">
      <c r="A106" s="4">
        <v>27</v>
      </c>
      <c r="B106" s="3" t="s">
        <v>941</v>
      </c>
      <c r="C106" s="77">
        <v>388.8</v>
      </c>
      <c r="D106" s="78">
        <v>14</v>
      </c>
      <c r="E106" s="154">
        <v>1</v>
      </c>
      <c r="F106" s="103">
        <v>1889236.5</v>
      </c>
      <c r="H106" s="6">
        <v>1266.2</v>
      </c>
      <c r="I106" s="6">
        <v>52</v>
      </c>
      <c r="J106" s="6">
        <v>4715781.71</v>
      </c>
    </row>
    <row r="107" spans="1:10" ht="20.25" x14ac:dyDescent="0.3">
      <c r="A107" s="4">
        <v>28</v>
      </c>
      <c r="B107" s="3" t="s">
        <v>945</v>
      </c>
      <c r="C107" s="77">
        <v>3104.9</v>
      </c>
      <c r="D107" s="78">
        <v>119</v>
      </c>
      <c r="E107" s="154">
        <v>5</v>
      </c>
      <c r="F107" s="103">
        <v>14950249.880000001</v>
      </c>
      <c r="H107" s="6">
        <v>703.5</v>
      </c>
      <c r="I107" s="6">
        <v>36</v>
      </c>
      <c r="J107" s="6">
        <v>2590114.16</v>
      </c>
    </row>
    <row r="108" spans="1:10" ht="20.25" x14ac:dyDescent="0.3">
      <c r="A108" s="4">
        <v>29</v>
      </c>
      <c r="B108" s="3" t="s">
        <v>980</v>
      </c>
      <c r="C108" s="77">
        <v>530.5</v>
      </c>
      <c r="D108" s="78">
        <v>25</v>
      </c>
      <c r="E108" s="154">
        <v>2</v>
      </c>
      <c r="F108" s="103">
        <v>2766932.97</v>
      </c>
      <c r="H108" s="6">
        <v>1217.2</v>
      </c>
      <c r="I108" s="6">
        <v>47</v>
      </c>
      <c r="J108" s="6">
        <v>1456533.11</v>
      </c>
    </row>
    <row r="109" spans="1:10" ht="20.25" x14ac:dyDescent="0.3">
      <c r="A109" s="4">
        <v>30</v>
      </c>
      <c r="B109" s="3" t="s">
        <v>981</v>
      </c>
      <c r="C109" s="77">
        <v>654.5</v>
      </c>
      <c r="D109" s="78">
        <v>19</v>
      </c>
      <c r="E109" s="154">
        <v>1</v>
      </c>
      <c r="F109" s="103">
        <v>2568179.12</v>
      </c>
      <c r="H109" s="6">
        <v>1774</v>
      </c>
      <c r="I109" s="6">
        <v>80</v>
      </c>
      <c r="J109" s="6">
        <v>10290828.25</v>
      </c>
    </row>
    <row r="110" spans="1:10" ht="20.25" x14ac:dyDescent="0.3">
      <c r="A110" s="4">
        <v>31</v>
      </c>
      <c r="B110" s="3" t="s">
        <v>948</v>
      </c>
      <c r="C110" s="77">
        <v>1244.4000000000001</v>
      </c>
      <c r="D110" s="78">
        <v>34</v>
      </c>
      <c r="E110" s="154">
        <v>1</v>
      </c>
      <c r="F110" s="103">
        <v>2981647.8</v>
      </c>
      <c r="H110" s="6">
        <v>609</v>
      </c>
      <c r="I110" s="6">
        <v>31</v>
      </c>
      <c r="J110" s="6">
        <v>3013803.8600000003</v>
      </c>
    </row>
    <row r="111" spans="1:10" ht="20.25" x14ac:dyDescent="0.3">
      <c r="A111" s="4">
        <v>32</v>
      </c>
      <c r="B111" s="3" t="s">
        <v>982</v>
      </c>
      <c r="C111" s="77">
        <v>948.2</v>
      </c>
      <c r="D111" s="78">
        <v>43</v>
      </c>
      <c r="E111" s="154">
        <v>1</v>
      </c>
      <c r="F111" s="103">
        <v>4290230.8800000008</v>
      </c>
      <c r="H111" s="6">
        <v>616</v>
      </c>
      <c r="I111" s="6">
        <v>21</v>
      </c>
      <c r="J111" s="6">
        <v>2036502</v>
      </c>
    </row>
    <row r="112" spans="1:10" ht="20.25" x14ac:dyDescent="0.3">
      <c r="A112" s="4">
        <v>33</v>
      </c>
      <c r="B112" s="3" t="s">
        <v>949</v>
      </c>
      <c r="C112" s="77">
        <v>779.2</v>
      </c>
      <c r="D112" s="78">
        <v>33</v>
      </c>
      <c r="E112" s="154">
        <v>1</v>
      </c>
      <c r="F112" s="103">
        <v>2903320.8000000003</v>
      </c>
      <c r="H112" s="6">
        <v>772.9</v>
      </c>
      <c r="I112" s="6">
        <v>32</v>
      </c>
      <c r="J112" s="6">
        <v>3592598.4</v>
      </c>
    </row>
    <row r="113" spans="1:10" ht="20.25" x14ac:dyDescent="0.3">
      <c r="A113" s="4">
        <v>34</v>
      </c>
      <c r="B113" s="3" t="s">
        <v>951</v>
      </c>
      <c r="C113" s="77">
        <v>1015.6</v>
      </c>
      <c r="D113" s="78">
        <v>47</v>
      </c>
      <c r="E113" s="154">
        <v>1</v>
      </c>
      <c r="F113" s="103">
        <v>3826397.3000000003</v>
      </c>
      <c r="H113" s="6">
        <v>976.3</v>
      </c>
      <c r="I113" s="6">
        <v>36</v>
      </c>
      <c r="J113" s="6">
        <v>4454195.3999999994</v>
      </c>
    </row>
    <row r="114" spans="1:10" ht="20.25" x14ac:dyDescent="0.3">
      <c r="A114" s="4">
        <v>35</v>
      </c>
      <c r="B114" s="3" t="s">
        <v>957</v>
      </c>
      <c r="C114" s="77">
        <v>5979.1</v>
      </c>
      <c r="D114" s="78">
        <v>217</v>
      </c>
      <c r="E114" s="154">
        <v>1</v>
      </c>
      <c r="F114" s="103">
        <v>5858309.4800000004</v>
      </c>
      <c r="H114" s="6">
        <v>781.7</v>
      </c>
      <c r="I114" s="6">
        <v>25</v>
      </c>
      <c r="J114" s="6">
        <v>4839701.7600000007</v>
      </c>
    </row>
    <row r="115" spans="1:10" ht="20.25" x14ac:dyDescent="0.3">
      <c r="A115" s="4">
        <v>36</v>
      </c>
      <c r="B115" s="3" t="s">
        <v>983</v>
      </c>
      <c r="C115" s="77">
        <v>822.2</v>
      </c>
      <c r="D115" s="78">
        <v>34</v>
      </c>
      <c r="E115" s="154">
        <v>1</v>
      </c>
      <c r="F115" s="103">
        <v>3274450.4</v>
      </c>
      <c r="H115" s="6">
        <v>792.9</v>
      </c>
      <c r="I115" s="6">
        <v>42</v>
      </c>
      <c r="J115" s="6">
        <v>3231458.3</v>
      </c>
    </row>
    <row r="116" spans="1:10" ht="20.25" x14ac:dyDescent="0.3">
      <c r="A116" s="4">
        <v>37</v>
      </c>
      <c r="B116" s="3" t="s">
        <v>955</v>
      </c>
      <c r="C116" s="77">
        <v>363.9</v>
      </c>
      <c r="D116" s="78">
        <v>18</v>
      </c>
      <c r="E116" s="154">
        <v>1</v>
      </c>
      <c r="F116" s="103">
        <v>3707032</v>
      </c>
      <c r="H116" s="6">
        <v>792.9</v>
      </c>
      <c r="I116" s="6">
        <v>42</v>
      </c>
      <c r="J116" s="6">
        <v>3231458.3</v>
      </c>
    </row>
    <row r="117" spans="1:10" ht="20.25" x14ac:dyDescent="0.3">
      <c r="A117" s="4">
        <v>38</v>
      </c>
      <c r="B117" s="3" t="s">
        <v>952</v>
      </c>
      <c r="C117" s="77">
        <v>5924.49</v>
      </c>
      <c r="D117" s="78">
        <v>259</v>
      </c>
      <c r="E117" s="154">
        <v>3</v>
      </c>
      <c r="F117" s="103">
        <v>12199052.439999999</v>
      </c>
      <c r="H117" s="6">
        <v>9443</v>
      </c>
      <c r="I117" s="6">
        <v>371</v>
      </c>
      <c r="J117" s="6">
        <v>16849360.93</v>
      </c>
    </row>
    <row r="118" spans="1:10" ht="20.25" x14ac:dyDescent="0.3">
      <c r="A118" s="4">
        <v>39</v>
      </c>
      <c r="B118" s="3" t="s">
        <v>953</v>
      </c>
      <c r="C118" s="77">
        <v>6594.96</v>
      </c>
      <c r="D118" s="78">
        <v>646.19000000000005</v>
      </c>
      <c r="E118" s="154">
        <v>2</v>
      </c>
      <c r="F118" s="103">
        <v>10328843.960000001</v>
      </c>
      <c r="H118" s="6">
        <v>2168.41</v>
      </c>
      <c r="I118" s="6">
        <v>62</v>
      </c>
      <c r="J118" s="6">
        <v>3799734.79</v>
      </c>
    </row>
    <row r="119" spans="1:10" ht="20.25" x14ac:dyDescent="0.3">
      <c r="A119" s="4">
        <v>40</v>
      </c>
      <c r="B119" s="3" t="s">
        <v>954</v>
      </c>
      <c r="C119" s="77">
        <v>485.3</v>
      </c>
      <c r="D119" s="78">
        <v>24</v>
      </c>
      <c r="E119" s="154">
        <v>1</v>
      </c>
      <c r="F119" s="103">
        <v>2311215.4500000002</v>
      </c>
      <c r="H119" s="6">
        <v>780.3</v>
      </c>
      <c r="I119" s="6">
        <v>24</v>
      </c>
      <c r="J119" s="6">
        <v>2311215.4500000002</v>
      </c>
    </row>
    <row r="120" spans="1:10" ht="20.25" x14ac:dyDescent="0.3">
      <c r="A120" s="4">
        <v>41</v>
      </c>
      <c r="B120" s="3" t="s">
        <v>956</v>
      </c>
      <c r="C120" s="77">
        <v>4891.9000000000005</v>
      </c>
      <c r="D120" s="78">
        <v>172</v>
      </c>
      <c r="E120" s="154">
        <v>5</v>
      </c>
      <c r="F120" s="103">
        <v>16487311.32</v>
      </c>
      <c r="H120" s="6">
        <v>540.79999999999995</v>
      </c>
      <c r="I120" s="6">
        <v>15</v>
      </c>
      <c r="J120" s="6">
        <v>3215375.5700000003</v>
      </c>
    </row>
    <row r="121" spans="1:10" ht="20.25" x14ac:dyDescent="0.3">
      <c r="A121" s="4">
        <v>42</v>
      </c>
      <c r="B121" s="3" t="s">
        <v>958</v>
      </c>
      <c r="C121" s="77">
        <v>4053.7</v>
      </c>
      <c r="D121" s="78">
        <v>118</v>
      </c>
      <c r="E121" s="154">
        <v>2</v>
      </c>
      <c r="F121" s="103">
        <v>6032850.6600000001</v>
      </c>
      <c r="H121" s="6">
        <v>2550.6999999999998</v>
      </c>
      <c r="I121" s="6">
        <v>119</v>
      </c>
      <c r="J121" s="6">
        <v>10672314.84</v>
      </c>
    </row>
    <row r="122" spans="1:10" ht="20.25" x14ac:dyDescent="0.3">
      <c r="A122" s="4">
        <v>43</v>
      </c>
      <c r="B122" s="3" t="s">
        <v>984</v>
      </c>
      <c r="C122" s="77">
        <v>545.34</v>
      </c>
      <c r="D122" s="78">
        <v>22</v>
      </c>
      <c r="E122" s="154">
        <v>1</v>
      </c>
      <c r="F122" s="103">
        <v>1799918.22</v>
      </c>
      <c r="H122" s="6">
        <v>5727.7</v>
      </c>
      <c r="I122" s="6">
        <v>188</v>
      </c>
      <c r="J122" s="6">
        <v>6053192.4699999997</v>
      </c>
    </row>
    <row r="123" spans="1:10" ht="20.25" x14ac:dyDescent="0.3">
      <c r="A123" s="4">
        <v>44</v>
      </c>
      <c r="B123" s="3" t="s">
        <v>959</v>
      </c>
      <c r="C123" s="77">
        <f>Перечень!I915</f>
        <v>8901.1</v>
      </c>
      <c r="D123" s="78">
        <f>Перечень!L915</f>
        <v>365</v>
      </c>
      <c r="E123" s="154">
        <v>4</v>
      </c>
      <c r="F123" s="103">
        <f>Перечень!P915</f>
        <v>4102310.33</v>
      </c>
      <c r="H123" s="6">
        <v>1040.7</v>
      </c>
      <c r="I123" s="6">
        <v>44</v>
      </c>
      <c r="J123" s="6">
        <v>4804056</v>
      </c>
    </row>
    <row r="124" spans="1:10" ht="20.25" x14ac:dyDescent="0.3">
      <c r="A124" s="4">
        <v>45</v>
      </c>
      <c r="B124" s="3" t="s">
        <v>985</v>
      </c>
      <c r="C124" s="77">
        <v>2138.8000000000002</v>
      </c>
      <c r="D124" s="78">
        <v>56</v>
      </c>
      <c r="E124" s="154">
        <v>1</v>
      </c>
      <c r="F124" s="103">
        <v>3974620.0799999996</v>
      </c>
      <c r="H124" s="6">
        <v>1040.7</v>
      </c>
      <c r="I124" s="6">
        <v>44</v>
      </c>
      <c r="J124" s="6">
        <v>4804056</v>
      </c>
    </row>
    <row r="125" spans="1:10" ht="20.25" x14ac:dyDescent="0.3">
      <c r="A125" s="4">
        <v>46</v>
      </c>
      <c r="B125" s="3" t="s">
        <v>960</v>
      </c>
      <c r="C125" s="77">
        <v>1367.9</v>
      </c>
      <c r="D125" s="78">
        <v>64</v>
      </c>
      <c r="E125" s="154">
        <v>1</v>
      </c>
      <c r="F125" s="103">
        <v>2957808</v>
      </c>
      <c r="H125" s="6">
        <v>3554.5</v>
      </c>
      <c r="I125" s="6">
        <v>145</v>
      </c>
      <c r="J125" s="6">
        <v>7284801.9000000004</v>
      </c>
    </row>
    <row r="126" spans="1:10" ht="20.25" x14ac:dyDescent="0.3">
      <c r="A126" s="4">
        <v>47</v>
      </c>
      <c r="B126" s="3" t="s">
        <v>961</v>
      </c>
      <c r="C126" s="77">
        <v>2208.39</v>
      </c>
      <c r="D126" s="78">
        <v>74</v>
      </c>
      <c r="E126" s="154">
        <v>1</v>
      </c>
      <c r="F126" s="103">
        <v>4651054.3499999996</v>
      </c>
      <c r="H126" s="6">
        <v>2640.94</v>
      </c>
      <c r="I126" s="6">
        <v>88</v>
      </c>
      <c r="J126" s="6">
        <v>4011881.02</v>
      </c>
    </row>
    <row r="127" spans="1:10" ht="20.25" x14ac:dyDescent="0.3">
      <c r="A127" s="4">
        <v>48</v>
      </c>
      <c r="B127" s="3" t="s">
        <v>986</v>
      </c>
      <c r="C127" s="77">
        <v>1501</v>
      </c>
      <c r="D127" s="78">
        <v>32</v>
      </c>
      <c r="E127" s="154">
        <v>1</v>
      </c>
      <c r="F127" s="103">
        <v>3145116.58</v>
      </c>
      <c r="H127" s="6">
        <v>4173.7</v>
      </c>
      <c r="I127" s="6">
        <v>171</v>
      </c>
      <c r="J127" s="6">
        <v>6026117.5699999994</v>
      </c>
    </row>
    <row r="128" spans="1:10" ht="20.25" x14ac:dyDescent="0.3">
      <c r="A128" s="4">
        <v>49</v>
      </c>
      <c r="B128" s="3" t="s">
        <v>962</v>
      </c>
      <c r="C128" s="77">
        <v>13728.17</v>
      </c>
      <c r="D128" s="78">
        <v>453</v>
      </c>
      <c r="E128" s="154">
        <v>3</v>
      </c>
      <c r="F128" s="103">
        <v>17099543.050000001</v>
      </c>
      <c r="H128" s="6">
        <v>8514.9</v>
      </c>
      <c r="I128" s="6">
        <v>327</v>
      </c>
      <c r="J128" s="6">
        <v>12459674.15</v>
      </c>
    </row>
    <row r="129" spans="1:10" ht="20.25" x14ac:dyDescent="0.3">
      <c r="A129" s="4">
        <v>50</v>
      </c>
      <c r="B129" s="3" t="s">
        <v>963</v>
      </c>
      <c r="C129" s="77">
        <v>4664.58</v>
      </c>
      <c r="D129" s="78">
        <v>158</v>
      </c>
      <c r="E129" s="154">
        <v>3</v>
      </c>
      <c r="F129" s="103">
        <v>11170130.879999999</v>
      </c>
      <c r="H129" s="6">
        <v>14680.3</v>
      </c>
      <c r="I129" s="6">
        <v>685</v>
      </c>
      <c r="J129" s="6">
        <v>13993215.270000001</v>
      </c>
    </row>
    <row r="130" spans="1:10" ht="20.25" x14ac:dyDescent="0.3">
      <c r="A130" s="4">
        <v>51</v>
      </c>
      <c r="B130" s="3" t="s">
        <v>965</v>
      </c>
      <c r="C130" s="77">
        <v>708.1</v>
      </c>
      <c r="D130" s="78">
        <v>43</v>
      </c>
      <c r="E130" s="154">
        <v>1</v>
      </c>
      <c r="F130" s="103">
        <v>3080862</v>
      </c>
      <c r="H130" s="6">
        <v>4947</v>
      </c>
      <c r="I130" s="6">
        <v>164</v>
      </c>
      <c r="J130" s="6">
        <v>9221698.8000000007</v>
      </c>
    </row>
    <row r="131" spans="1:10" ht="20.25" x14ac:dyDescent="0.3">
      <c r="A131" s="4">
        <v>52</v>
      </c>
      <c r="B131" s="3" t="s">
        <v>987</v>
      </c>
      <c r="C131" s="77">
        <v>788.3</v>
      </c>
      <c r="D131" s="78">
        <v>20</v>
      </c>
      <c r="E131" s="154">
        <v>1</v>
      </c>
      <c r="F131" s="103">
        <v>3655260</v>
      </c>
      <c r="H131" s="6">
        <v>726</v>
      </c>
      <c r="I131" s="6">
        <v>28</v>
      </c>
      <c r="J131" s="6">
        <v>3623929.1999999997</v>
      </c>
    </row>
    <row r="132" spans="1:10" ht="20.25" x14ac:dyDescent="0.3">
      <c r="A132" s="4">
        <v>53</v>
      </c>
      <c r="B132" s="3" t="s">
        <v>988</v>
      </c>
      <c r="C132" s="77">
        <v>707.1</v>
      </c>
      <c r="D132" s="78">
        <v>32</v>
      </c>
      <c r="E132" s="154">
        <v>1</v>
      </c>
      <c r="F132" s="103">
        <v>3080862</v>
      </c>
      <c r="H132" s="6">
        <v>675.9</v>
      </c>
      <c r="I132" s="6">
        <v>32</v>
      </c>
      <c r="J132" s="6">
        <v>3080862</v>
      </c>
    </row>
    <row r="133" spans="1:10" ht="20.25" x14ac:dyDescent="0.3">
      <c r="A133" s="4">
        <v>54</v>
      </c>
      <c r="B133" s="3" t="s">
        <v>967</v>
      </c>
      <c r="C133" s="77">
        <v>2386.1999999999998</v>
      </c>
      <c r="D133" s="78">
        <v>70</v>
      </c>
      <c r="E133" s="154">
        <v>3</v>
      </c>
      <c r="F133" s="103">
        <v>7774419.2400000002</v>
      </c>
      <c r="H133" s="6">
        <v>611.5</v>
      </c>
      <c r="I133" s="6">
        <v>28</v>
      </c>
      <c r="J133" s="6">
        <v>2610892.59</v>
      </c>
    </row>
    <row r="134" spans="1:10" ht="20.25" x14ac:dyDescent="0.3">
      <c r="A134" s="4">
        <v>55</v>
      </c>
      <c r="B134" s="3" t="s">
        <v>989</v>
      </c>
      <c r="C134" s="77">
        <v>834.7</v>
      </c>
      <c r="D134" s="78">
        <v>54</v>
      </c>
      <c r="E134" s="154">
        <v>1</v>
      </c>
      <c r="F134" s="103">
        <v>4275483</v>
      </c>
      <c r="H134" s="6">
        <v>789</v>
      </c>
      <c r="I134" s="6">
        <v>64</v>
      </c>
      <c r="J134" s="6">
        <v>3026194.08</v>
      </c>
    </row>
    <row r="135" spans="1:10" ht="20.25" x14ac:dyDescent="0.3">
      <c r="A135" s="4">
        <v>56</v>
      </c>
      <c r="B135" s="3" t="s">
        <v>971</v>
      </c>
      <c r="C135" s="77">
        <v>2424.8000000000002</v>
      </c>
      <c r="D135" s="78">
        <v>86</v>
      </c>
      <c r="E135" s="154">
        <v>2</v>
      </c>
      <c r="F135" s="103">
        <v>9113700</v>
      </c>
      <c r="H135" s="6">
        <v>351</v>
      </c>
      <c r="I135" s="6">
        <v>18</v>
      </c>
      <c r="J135" s="6">
        <v>3600600</v>
      </c>
    </row>
    <row r="136" spans="1:10" ht="20.25" x14ac:dyDescent="0.3">
      <c r="A136" s="4">
        <v>57</v>
      </c>
      <c r="B136" s="3" t="s">
        <v>972</v>
      </c>
      <c r="C136" s="77">
        <v>813.6</v>
      </c>
      <c r="D136" s="78">
        <v>16</v>
      </c>
      <c r="E136" s="154">
        <v>1</v>
      </c>
      <c r="F136" s="103">
        <v>3498600</v>
      </c>
      <c r="H136" s="6">
        <v>626</v>
      </c>
      <c r="I136" s="6">
        <v>23</v>
      </c>
      <c r="J136" s="6">
        <v>1917600</v>
      </c>
    </row>
    <row r="137" spans="1:10" ht="20.25" x14ac:dyDescent="0.3">
      <c r="A137" s="4">
        <v>58</v>
      </c>
      <c r="B137" s="3" t="s">
        <v>990</v>
      </c>
      <c r="C137" s="77">
        <v>791.9</v>
      </c>
      <c r="D137" s="78">
        <v>22</v>
      </c>
      <c r="E137" s="176">
        <v>1</v>
      </c>
      <c r="F137" s="103">
        <v>3230340</v>
      </c>
      <c r="H137" s="6">
        <v>4977.8</v>
      </c>
      <c r="I137" s="6">
        <v>158</v>
      </c>
      <c r="J137" s="6">
        <v>14392200</v>
      </c>
    </row>
    <row r="138" spans="1:10" ht="20.25" x14ac:dyDescent="0.3">
      <c r="A138" s="3" t="s">
        <v>780</v>
      </c>
      <c r="B138" s="12"/>
      <c r="C138" s="77">
        <f>SUM(C139:C196)</f>
        <v>508181.36000000004</v>
      </c>
      <c r="D138" s="78">
        <f>SUM(D139:D196)</f>
        <v>19397</v>
      </c>
      <c r="E138" s="175">
        <f>SUM(E139:E196)</f>
        <v>213</v>
      </c>
      <c r="F138" s="77">
        <f>SUM(F139:F196)</f>
        <v>787616479.89000022</v>
      </c>
      <c r="H138" s="6">
        <v>715.9</v>
      </c>
      <c r="I138" s="6">
        <v>16</v>
      </c>
      <c r="J138" s="6">
        <v>3396600</v>
      </c>
    </row>
    <row r="139" spans="1:10" ht="20.25" x14ac:dyDescent="0.3">
      <c r="A139" s="4">
        <v>1</v>
      </c>
      <c r="B139" s="3" t="s">
        <v>1011</v>
      </c>
      <c r="C139" s="77">
        <v>198913.88999999996</v>
      </c>
      <c r="D139" s="78">
        <v>7986</v>
      </c>
      <c r="E139" s="176">
        <v>58</v>
      </c>
      <c r="F139" s="103">
        <f>Реестр!D962</f>
        <v>218247138.05000004</v>
      </c>
      <c r="H139" s="6">
        <v>209231.22999999995</v>
      </c>
      <c r="I139" s="6">
        <v>8552</v>
      </c>
      <c r="J139" s="6">
        <v>216853215.43000004</v>
      </c>
    </row>
    <row r="140" spans="1:10" ht="20.25" x14ac:dyDescent="0.3">
      <c r="A140" s="4">
        <v>2</v>
      </c>
      <c r="B140" s="3" t="s">
        <v>917</v>
      </c>
      <c r="C140" s="77">
        <f>Перечень!I1015</f>
        <v>14993.8</v>
      </c>
      <c r="D140" s="78">
        <f>Перечень!L1015</f>
        <v>772</v>
      </c>
      <c r="E140" s="154">
        <v>14</v>
      </c>
      <c r="F140" s="103">
        <f>Реестр!D1021</f>
        <v>44764760.649999999</v>
      </c>
      <c r="H140" s="6">
        <v>15519.199999999999</v>
      </c>
      <c r="I140" s="6">
        <v>787</v>
      </c>
      <c r="J140" s="6">
        <v>45048314.759999998</v>
      </c>
    </row>
    <row r="141" spans="1:10" ht="20.25" x14ac:dyDescent="0.3">
      <c r="A141" s="4">
        <v>3</v>
      </c>
      <c r="B141" s="3" t="s">
        <v>918</v>
      </c>
      <c r="C141" s="77">
        <v>50994.9</v>
      </c>
      <c r="D141" s="78">
        <v>2143</v>
      </c>
      <c r="E141" s="154">
        <v>26</v>
      </c>
      <c r="F141" s="103">
        <v>87295266.429999992</v>
      </c>
      <c r="H141" s="6">
        <v>55253.150000000009</v>
      </c>
      <c r="I141" s="6">
        <v>2316</v>
      </c>
      <c r="J141" s="6">
        <v>91626897.959999993</v>
      </c>
    </row>
    <row r="142" spans="1:10" ht="20.25" x14ac:dyDescent="0.3">
      <c r="A142" s="4">
        <v>4</v>
      </c>
      <c r="B142" s="106" t="s">
        <v>919</v>
      </c>
      <c r="C142" s="77">
        <v>28484.610000000004</v>
      </c>
      <c r="D142" s="78">
        <v>850</v>
      </c>
      <c r="E142" s="154">
        <v>11</v>
      </c>
      <c r="F142" s="103">
        <v>45011140.729999997</v>
      </c>
      <c r="H142" s="6">
        <v>26773.05</v>
      </c>
      <c r="I142" s="6">
        <v>869</v>
      </c>
      <c r="J142" s="6">
        <v>44137673.120000005</v>
      </c>
    </row>
    <row r="143" spans="1:10" ht="20.25" x14ac:dyDescent="0.3">
      <c r="A143" s="4">
        <v>5</v>
      </c>
      <c r="B143" s="3" t="s">
        <v>920</v>
      </c>
      <c r="C143" s="77">
        <v>13712.7</v>
      </c>
      <c r="D143" s="78">
        <v>336</v>
      </c>
      <c r="E143" s="154">
        <v>2</v>
      </c>
      <c r="F143" s="103">
        <v>21856214.649999999</v>
      </c>
      <c r="H143" s="6">
        <v>13712.7</v>
      </c>
      <c r="I143" s="6">
        <v>336</v>
      </c>
      <c r="J143" s="6">
        <v>21856214.650000002</v>
      </c>
    </row>
    <row r="144" spans="1:10" ht="20.25" x14ac:dyDescent="0.3">
      <c r="A144" s="4">
        <v>6</v>
      </c>
      <c r="B144" s="3" t="s">
        <v>921</v>
      </c>
      <c r="C144" s="77">
        <v>44345.180000000008</v>
      </c>
      <c r="D144" s="78">
        <v>1912</v>
      </c>
      <c r="E144" s="154">
        <v>8</v>
      </c>
      <c r="F144" s="103">
        <v>51599396.32</v>
      </c>
      <c r="H144" s="6">
        <v>45913.430000000008</v>
      </c>
      <c r="I144" s="6">
        <v>1959</v>
      </c>
      <c r="J144" s="6">
        <v>51679396.32</v>
      </c>
    </row>
    <row r="145" spans="1:10" ht="20.25" x14ac:dyDescent="0.3">
      <c r="A145" s="4">
        <v>7</v>
      </c>
      <c r="B145" s="3" t="s">
        <v>922</v>
      </c>
      <c r="C145" s="77">
        <v>10321.200000000001</v>
      </c>
      <c r="D145" s="78">
        <v>281</v>
      </c>
      <c r="E145" s="154">
        <v>3</v>
      </c>
      <c r="F145" s="103">
        <v>9890638.1399999987</v>
      </c>
      <c r="H145" s="6">
        <v>11170.900000000001</v>
      </c>
      <c r="I145" s="6">
        <v>305</v>
      </c>
      <c r="J145" s="6">
        <v>9890638.1399999987</v>
      </c>
    </row>
    <row r="146" spans="1:10" ht="20.25" x14ac:dyDescent="0.3">
      <c r="A146" s="4">
        <v>8</v>
      </c>
      <c r="B146" s="3" t="s">
        <v>923</v>
      </c>
      <c r="C146" s="77">
        <v>4408.6000000000004</v>
      </c>
      <c r="D146" s="78">
        <v>120</v>
      </c>
      <c r="E146" s="154">
        <v>2</v>
      </c>
      <c r="F146" s="103">
        <v>11422752.699999999</v>
      </c>
      <c r="H146" s="6">
        <v>4408.6000000000004</v>
      </c>
      <c r="I146" s="6">
        <v>120</v>
      </c>
      <c r="J146" s="6">
        <v>11422752.699999999</v>
      </c>
    </row>
    <row r="147" spans="1:10" ht="20.25" x14ac:dyDescent="0.3">
      <c r="A147" s="4">
        <v>9</v>
      </c>
      <c r="B147" s="3" t="s">
        <v>924</v>
      </c>
      <c r="C147" s="77">
        <v>6442.65</v>
      </c>
      <c r="D147" s="78">
        <v>188</v>
      </c>
      <c r="E147" s="154">
        <v>2</v>
      </c>
      <c r="F147" s="103">
        <v>8756823</v>
      </c>
      <c r="H147" s="6">
        <v>8897</v>
      </c>
      <c r="I147" s="6">
        <v>313</v>
      </c>
      <c r="J147" s="6">
        <v>9642280</v>
      </c>
    </row>
    <row r="148" spans="1:10" ht="20.25" x14ac:dyDescent="0.3">
      <c r="A148" s="4">
        <v>10</v>
      </c>
      <c r="B148" s="3" t="s">
        <v>925</v>
      </c>
      <c r="C148" s="77">
        <v>1801.1</v>
      </c>
      <c r="D148" s="78">
        <v>15</v>
      </c>
      <c r="E148" s="154">
        <v>1</v>
      </c>
      <c r="F148" s="103">
        <v>4369866.08</v>
      </c>
      <c r="H148" s="6">
        <v>804.5</v>
      </c>
      <c r="I148" s="6">
        <v>47</v>
      </c>
      <c r="J148" s="6">
        <v>4369866.08</v>
      </c>
    </row>
    <row r="149" spans="1:10" ht="20.25" x14ac:dyDescent="0.3">
      <c r="A149" s="4">
        <v>11</v>
      </c>
      <c r="B149" s="3" t="s">
        <v>926</v>
      </c>
      <c r="C149" s="77">
        <v>1070.8</v>
      </c>
      <c r="D149" s="78">
        <v>42</v>
      </c>
      <c r="E149" s="154">
        <v>1</v>
      </c>
      <c r="F149" s="103">
        <v>2936950.21</v>
      </c>
      <c r="H149" s="6">
        <v>1070.8</v>
      </c>
      <c r="I149" s="6">
        <v>42</v>
      </c>
      <c r="J149" s="6">
        <v>2936950.21</v>
      </c>
    </row>
    <row r="150" spans="1:10" ht="20.25" x14ac:dyDescent="0.3">
      <c r="A150" s="4">
        <v>12</v>
      </c>
      <c r="B150" s="3" t="s">
        <v>927</v>
      </c>
      <c r="C150" s="77">
        <v>1547.1</v>
      </c>
      <c r="D150" s="78">
        <v>72</v>
      </c>
      <c r="E150" s="154">
        <v>2</v>
      </c>
      <c r="F150" s="103">
        <v>2773728.46</v>
      </c>
      <c r="H150" s="6">
        <v>1426.8</v>
      </c>
      <c r="I150" s="6">
        <v>72</v>
      </c>
      <c r="J150" s="6">
        <v>2773728.46</v>
      </c>
    </row>
    <row r="151" spans="1:10" ht="20.25" x14ac:dyDescent="0.3">
      <c r="A151" s="4">
        <v>13</v>
      </c>
      <c r="B151" s="3" t="s">
        <v>928</v>
      </c>
      <c r="C151" s="77">
        <v>455.7</v>
      </c>
      <c r="D151" s="78">
        <v>26</v>
      </c>
      <c r="E151" s="154">
        <v>1</v>
      </c>
      <c r="F151" s="103">
        <v>2158336.3499999996</v>
      </c>
      <c r="H151" s="6">
        <v>456.6</v>
      </c>
      <c r="I151" s="6">
        <v>26</v>
      </c>
      <c r="J151" s="6">
        <v>2158336.3499999996</v>
      </c>
    </row>
    <row r="152" spans="1:10" ht="20.25" x14ac:dyDescent="0.3">
      <c r="A152" s="4">
        <v>14</v>
      </c>
      <c r="B152" s="3" t="s">
        <v>929</v>
      </c>
      <c r="C152" s="77">
        <v>3156.2</v>
      </c>
      <c r="D152" s="78">
        <v>156</v>
      </c>
      <c r="E152" s="154">
        <v>1</v>
      </c>
      <c r="F152" s="103">
        <v>2000000</v>
      </c>
      <c r="H152" s="6">
        <v>3374.6</v>
      </c>
      <c r="I152" s="6">
        <v>144</v>
      </c>
      <c r="J152" s="6">
        <v>2000000</v>
      </c>
    </row>
    <row r="153" spans="1:10" ht="20.25" x14ac:dyDescent="0.3">
      <c r="A153" s="4">
        <v>15</v>
      </c>
      <c r="B153" s="3" t="s">
        <v>930</v>
      </c>
      <c r="C153" s="77">
        <v>11855.599999999999</v>
      </c>
      <c r="D153" s="78">
        <v>299</v>
      </c>
      <c r="E153" s="154">
        <v>7</v>
      </c>
      <c r="F153" s="103">
        <v>23342011.919999998</v>
      </c>
      <c r="H153" s="6">
        <v>13638.6</v>
      </c>
      <c r="I153" s="6">
        <v>299</v>
      </c>
      <c r="J153" s="6">
        <v>23342011.919999998</v>
      </c>
    </row>
    <row r="154" spans="1:10" ht="20.25" x14ac:dyDescent="0.3">
      <c r="A154" s="4">
        <v>16</v>
      </c>
      <c r="B154" s="3" t="s">
        <v>931</v>
      </c>
      <c r="C154" s="77">
        <v>5829.2</v>
      </c>
      <c r="D154" s="78">
        <v>215</v>
      </c>
      <c r="E154" s="154">
        <v>2</v>
      </c>
      <c r="F154" s="103">
        <v>12591900</v>
      </c>
      <c r="H154" s="6">
        <v>5759.0999999999995</v>
      </c>
      <c r="I154" s="6">
        <v>215</v>
      </c>
      <c r="J154" s="6">
        <v>12591900</v>
      </c>
    </row>
    <row r="155" spans="1:10" ht="20.25" x14ac:dyDescent="0.3">
      <c r="A155" s="4">
        <v>17</v>
      </c>
      <c r="B155" s="3" t="s">
        <v>932</v>
      </c>
      <c r="C155" s="77">
        <v>396.2</v>
      </c>
      <c r="D155" s="78">
        <v>21</v>
      </c>
      <c r="E155" s="154">
        <v>1</v>
      </c>
      <c r="F155" s="103">
        <v>1724820</v>
      </c>
      <c r="H155" s="6">
        <v>396.2</v>
      </c>
      <c r="I155" s="6">
        <v>21</v>
      </c>
      <c r="J155" s="6">
        <v>1724820</v>
      </c>
    </row>
    <row r="156" spans="1:10" ht="20.25" x14ac:dyDescent="0.3">
      <c r="A156" s="4">
        <v>18</v>
      </c>
      <c r="B156" s="3" t="s">
        <v>933</v>
      </c>
      <c r="C156" s="77">
        <v>1011.8</v>
      </c>
      <c r="D156" s="78">
        <v>26</v>
      </c>
      <c r="E156" s="154">
        <v>1</v>
      </c>
      <c r="F156" s="103">
        <v>1739107.3499999999</v>
      </c>
      <c r="H156" s="6">
        <v>1011.8</v>
      </c>
      <c r="I156" s="6">
        <v>26</v>
      </c>
      <c r="J156" s="6">
        <v>1739107.3499999999</v>
      </c>
    </row>
    <row r="157" spans="1:10" ht="20.25" x14ac:dyDescent="0.3">
      <c r="A157" s="4">
        <v>19</v>
      </c>
      <c r="B157" s="3" t="s">
        <v>934</v>
      </c>
      <c r="C157" s="77">
        <v>594.20000000000005</v>
      </c>
      <c r="D157" s="78">
        <v>23</v>
      </c>
      <c r="E157" s="154">
        <v>1</v>
      </c>
      <c r="F157" s="103">
        <v>3373804.98</v>
      </c>
      <c r="H157" s="6">
        <v>594.20000000000005</v>
      </c>
      <c r="I157" s="6">
        <v>23</v>
      </c>
      <c r="J157" s="6">
        <v>3373804.98</v>
      </c>
    </row>
    <row r="158" spans="1:10" ht="20.25" x14ac:dyDescent="0.3">
      <c r="A158" s="4">
        <v>20</v>
      </c>
      <c r="B158" s="3" t="s">
        <v>935</v>
      </c>
      <c r="C158" s="77">
        <v>1532.1</v>
      </c>
      <c r="D158" s="78">
        <f>Перечень!L1119</f>
        <v>39</v>
      </c>
      <c r="E158" s="154">
        <v>2</v>
      </c>
      <c r="F158" s="103">
        <v>3916350</v>
      </c>
      <c r="H158" s="6">
        <v>906.9</v>
      </c>
      <c r="I158" s="6">
        <v>32</v>
      </c>
      <c r="J158" s="6">
        <v>3916350</v>
      </c>
    </row>
    <row r="159" spans="1:10" ht="20.25" x14ac:dyDescent="0.3">
      <c r="A159" s="4">
        <v>21</v>
      </c>
      <c r="B159" s="3" t="s">
        <v>936</v>
      </c>
      <c r="C159" s="77">
        <v>2184</v>
      </c>
      <c r="D159" s="78">
        <v>57</v>
      </c>
      <c r="E159" s="154">
        <v>2</v>
      </c>
      <c r="F159" s="103">
        <v>3516578.96</v>
      </c>
      <c r="H159" s="6">
        <v>2184</v>
      </c>
      <c r="I159" s="6">
        <v>57</v>
      </c>
      <c r="J159" s="6">
        <v>3516578.96</v>
      </c>
    </row>
    <row r="160" spans="1:10" ht="20.25" x14ac:dyDescent="0.3">
      <c r="A160" s="4">
        <v>22</v>
      </c>
      <c r="B160" s="3" t="s">
        <v>937</v>
      </c>
      <c r="C160" s="77">
        <v>1069.5</v>
      </c>
      <c r="D160" s="78">
        <v>39</v>
      </c>
      <c r="E160" s="154">
        <v>1</v>
      </c>
      <c r="F160" s="103">
        <v>3598749.4899999998</v>
      </c>
      <c r="H160" s="6">
        <v>1069.5</v>
      </c>
      <c r="I160" s="6">
        <v>39</v>
      </c>
      <c r="J160" s="6">
        <v>3598749.4899999998</v>
      </c>
    </row>
    <row r="161" spans="1:10" ht="20.25" x14ac:dyDescent="0.3">
      <c r="A161" s="4">
        <v>23</v>
      </c>
      <c r="B161" s="3" t="s">
        <v>938</v>
      </c>
      <c r="C161" s="77">
        <v>630</v>
      </c>
      <c r="D161" s="78">
        <v>32</v>
      </c>
      <c r="E161" s="154">
        <v>1</v>
      </c>
      <c r="F161" s="103">
        <v>3488946.79</v>
      </c>
      <c r="H161" s="6">
        <v>630</v>
      </c>
      <c r="I161" s="6">
        <v>32</v>
      </c>
      <c r="J161" s="6">
        <v>3488946.79</v>
      </c>
    </row>
    <row r="162" spans="1:10" ht="20.25" x14ac:dyDescent="0.3">
      <c r="A162" s="4">
        <v>24</v>
      </c>
      <c r="B162" s="3" t="s">
        <v>939</v>
      </c>
      <c r="C162" s="77">
        <v>626.5</v>
      </c>
      <c r="D162" s="78">
        <v>23</v>
      </c>
      <c r="E162" s="154">
        <v>1</v>
      </c>
      <c r="F162" s="103">
        <v>1538879.17</v>
      </c>
      <c r="H162" s="6">
        <v>626.5</v>
      </c>
      <c r="I162" s="6">
        <v>23</v>
      </c>
      <c r="J162" s="6">
        <v>1538879.17</v>
      </c>
    </row>
    <row r="163" spans="1:10" ht="20.25" x14ac:dyDescent="0.3">
      <c r="A163" s="4">
        <v>25</v>
      </c>
      <c r="B163" s="3" t="s">
        <v>940</v>
      </c>
      <c r="C163" s="77">
        <v>14681.960000000001</v>
      </c>
      <c r="D163" s="78">
        <v>477</v>
      </c>
      <c r="E163" s="154">
        <v>6</v>
      </c>
      <c r="F163" s="103">
        <v>29368928.999999996</v>
      </c>
      <c r="H163" s="6">
        <v>20161.96</v>
      </c>
      <c r="I163" s="6">
        <v>621</v>
      </c>
      <c r="J163" s="6">
        <v>28415186.600000001</v>
      </c>
    </row>
    <row r="164" spans="1:10" ht="20.25" x14ac:dyDescent="0.3">
      <c r="A164" s="4">
        <v>26</v>
      </c>
      <c r="B164" s="3" t="s">
        <v>941</v>
      </c>
      <c r="C164" s="77">
        <v>1573</v>
      </c>
      <c r="D164" s="78">
        <v>68</v>
      </c>
      <c r="E164" s="154">
        <v>2</v>
      </c>
      <c r="F164" s="103">
        <v>5777967.8699999992</v>
      </c>
      <c r="H164" s="6">
        <v>1573</v>
      </c>
      <c r="I164" s="6">
        <v>68</v>
      </c>
      <c r="J164" s="6">
        <v>5777967.8699999992</v>
      </c>
    </row>
    <row r="165" spans="1:10" ht="20.25" x14ac:dyDescent="0.3">
      <c r="A165" s="4">
        <v>27</v>
      </c>
      <c r="B165" s="3" t="s">
        <v>942</v>
      </c>
      <c r="C165" s="77">
        <v>1266.2</v>
      </c>
      <c r="D165" s="78">
        <v>52</v>
      </c>
      <c r="E165" s="154">
        <v>3</v>
      </c>
      <c r="F165" s="103">
        <v>4715781.71</v>
      </c>
      <c r="H165" s="6">
        <v>1266.2</v>
      </c>
      <c r="I165" s="6">
        <v>52</v>
      </c>
      <c r="J165" s="6">
        <v>4715781.71</v>
      </c>
    </row>
    <row r="166" spans="1:10" ht="20.25" x14ac:dyDescent="0.3">
      <c r="A166" s="4">
        <v>28</v>
      </c>
      <c r="B166" s="3" t="s">
        <v>943</v>
      </c>
      <c r="C166" s="77">
        <f>Перечень!I1145</f>
        <v>665.5</v>
      </c>
      <c r="D166" s="78">
        <f>Перечень!L1145</f>
        <v>51</v>
      </c>
      <c r="E166" s="154">
        <v>2</v>
      </c>
      <c r="F166" s="103">
        <f>Перечень!P1145</f>
        <v>2590114.16</v>
      </c>
      <c r="H166" s="6">
        <v>703.5</v>
      </c>
      <c r="I166" s="6">
        <v>36</v>
      </c>
      <c r="J166" s="6">
        <v>2590114.16</v>
      </c>
    </row>
    <row r="167" spans="1:10" ht="20.25" x14ac:dyDescent="0.3">
      <c r="A167" s="4">
        <v>29</v>
      </c>
      <c r="B167" s="3" t="s">
        <v>944</v>
      </c>
      <c r="C167" s="77">
        <v>1217.2</v>
      </c>
      <c r="D167" s="78">
        <v>47</v>
      </c>
      <c r="E167" s="154">
        <v>1</v>
      </c>
      <c r="F167" s="103">
        <v>1456533.11</v>
      </c>
      <c r="H167" s="6">
        <v>1217.2</v>
      </c>
      <c r="I167" s="6">
        <v>47</v>
      </c>
      <c r="J167" s="6">
        <v>1456533.11</v>
      </c>
    </row>
    <row r="168" spans="1:10" ht="20.25" x14ac:dyDescent="0.3">
      <c r="A168" s="4">
        <v>30</v>
      </c>
      <c r="B168" s="3" t="s">
        <v>945</v>
      </c>
      <c r="C168" s="77">
        <v>1774</v>
      </c>
      <c r="D168" s="78">
        <v>80</v>
      </c>
      <c r="E168" s="154">
        <v>3</v>
      </c>
      <c r="F168" s="103">
        <v>10290828.25</v>
      </c>
      <c r="H168" s="6">
        <v>1774</v>
      </c>
      <c r="I168" s="6">
        <v>80</v>
      </c>
      <c r="J168" s="6">
        <v>10290828.25</v>
      </c>
    </row>
    <row r="169" spans="1:10" ht="20.25" x14ac:dyDescent="0.3">
      <c r="A169" s="4">
        <v>31</v>
      </c>
      <c r="B169" s="3" t="s">
        <v>946</v>
      </c>
      <c r="C169" s="77">
        <v>609</v>
      </c>
      <c r="D169" s="78">
        <v>31</v>
      </c>
      <c r="E169" s="154">
        <v>1</v>
      </c>
      <c r="F169" s="103">
        <v>3013803.8600000003</v>
      </c>
      <c r="H169" s="6">
        <v>609</v>
      </c>
      <c r="I169" s="6">
        <v>31</v>
      </c>
      <c r="J169" s="6">
        <v>3013803.8600000003</v>
      </c>
    </row>
    <row r="170" spans="1:10" ht="20.25" x14ac:dyDescent="0.3">
      <c r="A170" s="4">
        <v>32</v>
      </c>
      <c r="B170" s="3" t="s">
        <v>947</v>
      </c>
      <c r="C170" s="77">
        <v>616.20000000000005</v>
      </c>
      <c r="D170" s="78">
        <v>21</v>
      </c>
      <c r="E170" s="154">
        <v>1</v>
      </c>
      <c r="F170" s="103">
        <v>2036502</v>
      </c>
      <c r="H170" s="6">
        <v>616</v>
      </c>
      <c r="I170" s="6">
        <v>21</v>
      </c>
      <c r="J170" s="6">
        <v>2036502</v>
      </c>
    </row>
    <row r="171" spans="1:10" ht="20.25" x14ac:dyDescent="0.3">
      <c r="A171" s="4">
        <v>33</v>
      </c>
      <c r="B171" s="3" t="s">
        <v>948</v>
      </c>
      <c r="C171" s="77">
        <v>772.9</v>
      </c>
      <c r="D171" s="78">
        <v>32</v>
      </c>
      <c r="E171" s="154">
        <v>1</v>
      </c>
      <c r="F171" s="103">
        <v>3592598.4</v>
      </c>
      <c r="H171" s="6">
        <v>772.9</v>
      </c>
      <c r="I171" s="6">
        <v>32</v>
      </c>
      <c r="J171" s="6">
        <v>3592598.4</v>
      </c>
    </row>
    <row r="172" spans="1:10" ht="20.25" x14ac:dyDescent="0.3">
      <c r="A172" s="4">
        <v>34</v>
      </c>
      <c r="B172" s="3" t="s">
        <v>949</v>
      </c>
      <c r="C172" s="77">
        <v>976.3</v>
      </c>
      <c r="D172" s="78">
        <v>36</v>
      </c>
      <c r="E172" s="154">
        <v>1</v>
      </c>
      <c r="F172" s="103">
        <v>4454195.3999999994</v>
      </c>
      <c r="H172" s="6">
        <v>976.3</v>
      </c>
      <c r="I172" s="6">
        <v>36</v>
      </c>
      <c r="J172" s="6">
        <v>4454195.3999999994</v>
      </c>
    </row>
    <row r="173" spans="1:10" ht="20.25" x14ac:dyDescent="0.3">
      <c r="A173" s="4">
        <v>35</v>
      </c>
      <c r="B173" s="3" t="s">
        <v>950</v>
      </c>
      <c r="C173" s="77">
        <v>781.7</v>
      </c>
      <c r="D173" s="78">
        <v>25</v>
      </c>
      <c r="E173" s="154">
        <v>1</v>
      </c>
      <c r="F173" s="103">
        <v>5304624.57</v>
      </c>
      <c r="H173" s="6">
        <v>781.7</v>
      </c>
      <c r="I173" s="6">
        <v>25</v>
      </c>
      <c r="J173" s="6">
        <v>4839701.7600000007</v>
      </c>
    </row>
    <row r="174" spans="1:10" ht="20.25" x14ac:dyDescent="0.3">
      <c r="A174" s="4">
        <v>36</v>
      </c>
      <c r="B174" s="3" t="s">
        <v>951</v>
      </c>
      <c r="C174" s="77">
        <v>736.7</v>
      </c>
      <c r="D174" s="78">
        <v>42</v>
      </c>
      <c r="E174" s="154">
        <v>1</v>
      </c>
      <c r="F174" s="103">
        <v>3231458.3</v>
      </c>
      <c r="H174" s="6">
        <v>792.9</v>
      </c>
      <c r="I174" s="6">
        <v>42</v>
      </c>
      <c r="J174" s="6">
        <v>3231458.3</v>
      </c>
    </row>
    <row r="175" spans="1:10" ht="20.25" x14ac:dyDescent="0.3">
      <c r="A175" s="4">
        <v>37</v>
      </c>
      <c r="B175" s="3" t="s">
        <v>952</v>
      </c>
      <c r="C175" s="77">
        <v>9352.4</v>
      </c>
      <c r="D175" s="78">
        <v>371</v>
      </c>
      <c r="E175" s="154">
        <v>3</v>
      </c>
      <c r="F175" s="103">
        <v>16849360.93</v>
      </c>
      <c r="H175" s="6">
        <v>9443</v>
      </c>
      <c r="I175" s="6">
        <v>371</v>
      </c>
      <c r="J175" s="6">
        <v>16849360.93</v>
      </c>
    </row>
    <row r="176" spans="1:10" ht="20.25" x14ac:dyDescent="0.3">
      <c r="A176" s="4">
        <v>38</v>
      </c>
      <c r="B176" s="3" t="s">
        <v>953</v>
      </c>
      <c r="C176" s="77">
        <v>2168.41</v>
      </c>
      <c r="D176" s="78">
        <v>62</v>
      </c>
      <c r="E176" s="154">
        <v>1</v>
      </c>
      <c r="F176" s="103">
        <v>2872957.67</v>
      </c>
      <c r="H176" s="6">
        <v>2168.41</v>
      </c>
      <c r="I176" s="6">
        <v>62</v>
      </c>
      <c r="J176" s="6">
        <v>3799734.79</v>
      </c>
    </row>
    <row r="177" spans="1:10" ht="20.25" x14ac:dyDescent="0.3">
      <c r="A177" s="4">
        <v>39</v>
      </c>
      <c r="B177" s="3" t="s">
        <v>954</v>
      </c>
      <c r="C177" s="77">
        <v>780.3</v>
      </c>
      <c r="D177" s="78">
        <v>24</v>
      </c>
      <c r="E177" s="154">
        <v>1</v>
      </c>
      <c r="F177" s="103">
        <v>2311215.4500000002</v>
      </c>
      <c r="H177" s="6">
        <v>780.3</v>
      </c>
      <c r="I177" s="6">
        <v>24</v>
      </c>
      <c r="J177" s="6">
        <v>2311215.4500000002</v>
      </c>
    </row>
    <row r="178" spans="1:10" ht="20.25" x14ac:dyDescent="0.3">
      <c r="A178" s="4">
        <v>40</v>
      </c>
      <c r="B178" s="3" t="s">
        <v>955</v>
      </c>
      <c r="C178" s="77">
        <v>540.79999999999995</v>
      </c>
      <c r="D178" s="78">
        <v>15</v>
      </c>
      <c r="E178" s="154">
        <v>1</v>
      </c>
      <c r="F178" s="103">
        <v>3215375.5700000003</v>
      </c>
      <c r="H178" s="6">
        <v>540.79999999999995</v>
      </c>
      <c r="I178" s="6">
        <v>15</v>
      </c>
      <c r="J178" s="6">
        <v>3215375.5700000003</v>
      </c>
    </row>
    <row r="179" spans="1:10" ht="20.25" x14ac:dyDescent="0.3">
      <c r="A179" s="4">
        <v>41</v>
      </c>
      <c r="B179" s="3" t="s">
        <v>956</v>
      </c>
      <c r="C179" s="77">
        <v>2550.6999999999998</v>
      </c>
      <c r="D179" s="78">
        <v>119</v>
      </c>
      <c r="E179" s="154">
        <v>3</v>
      </c>
      <c r="F179" s="103">
        <v>10672314.84</v>
      </c>
      <c r="H179" s="6">
        <v>2550.6999999999998</v>
      </c>
      <c r="I179" s="6">
        <v>119</v>
      </c>
      <c r="J179" s="6">
        <v>10672314.84</v>
      </c>
    </row>
    <row r="180" spans="1:10" ht="20.25" x14ac:dyDescent="0.3">
      <c r="A180" s="4">
        <v>42</v>
      </c>
      <c r="B180" s="3" t="s">
        <v>957</v>
      </c>
      <c r="C180" s="77">
        <v>5523</v>
      </c>
      <c r="D180" s="78">
        <v>208</v>
      </c>
      <c r="E180" s="154">
        <v>1</v>
      </c>
      <c r="F180" s="103">
        <v>3912770.8299999996</v>
      </c>
      <c r="H180" s="6">
        <v>5727.7</v>
      </c>
      <c r="I180" s="6">
        <v>188</v>
      </c>
      <c r="J180" s="6">
        <v>6053192.4699999997</v>
      </c>
    </row>
    <row r="181" spans="1:10" ht="20.25" x14ac:dyDescent="0.3">
      <c r="A181" s="4">
        <v>43</v>
      </c>
      <c r="B181" s="3" t="s">
        <v>958</v>
      </c>
      <c r="C181" s="77">
        <v>1046.8</v>
      </c>
      <c r="D181" s="78">
        <v>44</v>
      </c>
      <c r="E181" s="154">
        <v>1</v>
      </c>
      <c r="F181" s="103">
        <v>4804056</v>
      </c>
      <c r="H181" s="6">
        <v>1040.7</v>
      </c>
      <c r="I181" s="6">
        <v>44</v>
      </c>
      <c r="J181" s="6">
        <v>4804056</v>
      </c>
    </row>
    <row r="182" spans="1:10" ht="20.25" x14ac:dyDescent="0.3">
      <c r="A182" s="4">
        <v>44</v>
      </c>
      <c r="B182" s="3" t="s">
        <v>959</v>
      </c>
      <c r="C182" s="77">
        <v>3554.5</v>
      </c>
      <c r="D182" s="78">
        <v>145</v>
      </c>
      <c r="E182" s="154">
        <v>1</v>
      </c>
      <c r="F182" s="103">
        <v>7284801.9000000004</v>
      </c>
      <c r="H182" s="6">
        <v>3554.5</v>
      </c>
      <c r="I182" s="6">
        <v>145</v>
      </c>
      <c r="J182" s="6">
        <v>7284801.9000000004</v>
      </c>
    </row>
    <row r="183" spans="1:10" ht="20.25" x14ac:dyDescent="0.3">
      <c r="A183" s="4">
        <v>45</v>
      </c>
      <c r="B183" s="3" t="s">
        <v>960</v>
      </c>
      <c r="C183" s="77">
        <v>2640.94</v>
      </c>
      <c r="D183" s="78">
        <v>88</v>
      </c>
      <c r="E183" s="154">
        <v>2</v>
      </c>
      <c r="F183" s="103">
        <v>4011881.02</v>
      </c>
      <c r="H183" s="6">
        <v>2640.94</v>
      </c>
      <c r="I183" s="6">
        <v>88</v>
      </c>
      <c r="J183" s="6">
        <v>4011881.02</v>
      </c>
    </row>
    <row r="184" spans="1:10" ht="20.25" x14ac:dyDescent="0.3">
      <c r="A184" s="4">
        <v>46</v>
      </c>
      <c r="B184" s="3" t="s">
        <v>961</v>
      </c>
      <c r="C184" s="77">
        <v>4173.3999999999996</v>
      </c>
      <c r="D184" s="78">
        <v>171</v>
      </c>
      <c r="E184" s="154">
        <v>2</v>
      </c>
      <c r="F184" s="103">
        <v>6026117.5699999994</v>
      </c>
      <c r="H184" s="6">
        <v>4173.7</v>
      </c>
      <c r="I184" s="6">
        <v>171</v>
      </c>
      <c r="J184" s="6">
        <v>6026117.5699999994</v>
      </c>
    </row>
    <row r="185" spans="1:10" ht="20.25" x14ac:dyDescent="0.3">
      <c r="A185" s="4">
        <v>47</v>
      </c>
      <c r="B185" s="3" t="s">
        <v>986</v>
      </c>
      <c r="C185" s="77">
        <v>13642.179999999998</v>
      </c>
      <c r="D185" s="78">
        <v>327</v>
      </c>
      <c r="E185" s="154">
        <v>3</v>
      </c>
      <c r="F185" s="103">
        <v>12459674.15</v>
      </c>
      <c r="H185" s="6">
        <v>8514.9</v>
      </c>
      <c r="I185" s="6">
        <v>327</v>
      </c>
      <c r="J185" s="6">
        <v>12459674.15</v>
      </c>
    </row>
    <row r="186" spans="1:10" ht="20.25" x14ac:dyDescent="0.3">
      <c r="A186" s="4">
        <v>48</v>
      </c>
      <c r="B186" s="3" t="s">
        <v>962</v>
      </c>
      <c r="C186" s="77">
        <v>13394.029999999999</v>
      </c>
      <c r="D186" s="78">
        <v>618</v>
      </c>
      <c r="E186" s="154">
        <v>4</v>
      </c>
      <c r="F186" s="103">
        <v>12269019.870000001</v>
      </c>
      <c r="H186" s="6">
        <v>14680.3</v>
      </c>
      <c r="I186" s="6">
        <v>685</v>
      </c>
      <c r="J186" s="6">
        <v>13993215.270000001</v>
      </c>
    </row>
    <row r="187" spans="1:10" ht="20.25" x14ac:dyDescent="0.3">
      <c r="A187" s="4">
        <v>49</v>
      </c>
      <c r="B187" s="3" t="s">
        <v>963</v>
      </c>
      <c r="C187" s="77">
        <v>5101.2</v>
      </c>
      <c r="D187" s="78">
        <v>164</v>
      </c>
      <c r="E187" s="154">
        <v>2</v>
      </c>
      <c r="F187" s="103">
        <v>9221698.8000000007</v>
      </c>
      <c r="H187" s="6">
        <v>4947</v>
      </c>
      <c r="I187" s="6">
        <v>164</v>
      </c>
      <c r="J187" s="6">
        <v>9221698.8000000007</v>
      </c>
    </row>
    <row r="188" spans="1:10" ht="20.25" x14ac:dyDescent="0.3">
      <c r="A188" s="4">
        <v>50</v>
      </c>
      <c r="B188" s="3" t="s">
        <v>964</v>
      </c>
      <c r="C188" s="77">
        <v>783.81</v>
      </c>
      <c r="D188" s="78">
        <v>28</v>
      </c>
      <c r="E188" s="154">
        <v>1</v>
      </c>
      <c r="F188" s="103">
        <v>3623929.1999999997</v>
      </c>
      <c r="H188" s="6">
        <v>726</v>
      </c>
      <c r="I188" s="6">
        <v>28</v>
      </c>
      <c r="J188" s="6">
        <v>3623929.1999999997</v>
      </c>
    </row>
    <row r="189" spans="1:10" ht="20.25" x14ac:dyDescent="0.3">
      <c r="A189" s="4">
        <v>51</v>
      </c>
      <c r="B189" s="3" t="s">
        <v>965</v>
      </c>
      <c r="C189" s="77">
        <v>680.2</v>
      </c>
      <c r="D189" s="78">
        <v>32</v>
      </c>
      <c r="E189" s="154">
        <v>1</v>
      </c>
      <c r="F189" s="103">
        <v>3080862</v>
      </c>
      <c r="H189" s="6">
        <v>675.9</v>
      </c>
      <c r="I189" s="6">
        <v>32</v>
      </c>
      <c r="J189" s="6">
        <v>3080862</v>
      </c>
    </row>
    <row r="190" spans="1:10" ht="20.25" x14ac:dyDescent="0.3">
      <c r="A190" s="4">
        <v>52</v>
      </c>
      <c r="B190" s="3" t="s">
        <v>966</v>
      </c>
      <c r="C190" s="77">
        <v>646.4</v>
      </c>
      <c r="D190" s="78">
        <v>28</v>
      </c>
      <c r="E190" s="154">
        <v>2</v>
      </c>
      <c r="F190" s="103">
        <v>2610892.59</v>
      </c>
      <c r="H190" s="6">
        <v>611.5</v>
      </c>
      <c r="I190" s="6">
        <v>28</v>
      </c>
      <c r="J190" s="6">
        <v>2610892.59</v>
      </c>
    </row>
    <row r="191" spans="1:10" ht="20.25" x14ac:dyDescent="0.3">
      <c r="A191" s="4">
        <v>53</v>
      </c>
      <c r="B191" s="3" t="s">
        <v>967</v>
      </c>
      <c r="C191" s="77">
        <v>2009.6000000000001</v>
      </c>
      <c r="D191" s="78">
        <v>77</v>
      </c>
      <c r="E191" s="154">
        <v>3</v>
      </c>
      <c r="F191" s="103">
        <v>6332416.4000000004</v>
      </c>
      <c r="H191" s="6">
        <v>2373.5</v>
      </c>
      <c r="I191" s="6">
        <v>77</v>
      </c>
      <c r="J191" s="6">
        <v>6332416.4000000004</v>
      </c>
    </row>
    <row r="192" spans="1:10" ht="20.25" x14ac:dyDescent="0.3">
      <c r="A192" s="4">
        <v>54</v>
      </c>
      <c r="B192" s="3" t="s">
        <v>968</v>
      </c>
      <c r="C192" s="77">
        <v>814.6</v>
      </c>
      <c r="D192" s="78">
        <v>26</v>
      </c>
      <c r="E192" s="154">
        <v>1</v>
      </c>
      <c r="F192" s="103">
        <v>4686244.08</v>
      </c>
      <c r="H192" s="6">
        <v>789</v>
      </c>
      <c r="I192" s="6">
        <v>64</v>
      </c>
      <c r="J192" s="6">
        <v>3026194.08</v>
      </c>
    </row>
    <row r="193" spans="1:10" ht="20.25" x14ac:dyDescent="0.3">
      <c r="A193" s="4">
        <v>55</v>
      </c>
      <c r="B193" s="3" t="s">
        <v>969</v>
      </c>
      <c r="C193" s="77">
        <v>350.9</v>
      </c>
      <c r="D193" s="78">
        <v>18</v>
      </c>
      <c r="E193" s="154">
        <v>1</v>
      </c>
      <c r="F193" s="103">
        <v>3600600</v>
      </c>
      <c r="H193" s="6">
        <v>351</v>
      </c>
      <c r="I193" s="6">
        <v>18</v>
      </c>
      <c r="J193" s="6">
        <v>3600600</v>
      </c>
    </row>
    <row r="194" spans="1:10" ht="20.25" x14ac:dyDescent="0.3">
      <c r="A194" s="4">
        <v>56</v>
      </c>
      <c r="B194" s="3" t="s">
        <v>970</v>
      </c>
      <c r="C194" s="77">
        <v>626</v>
      </c>
      <c r="D194" s="78">
        <v>23</v>
      </c>
      <c r="E194" s="154">
        <v>1</v>
      </c>
      <c r="F194" s="103">
        <v>2233993.96</v>
      </c>
      <c r="H194" s="6">
        <v>626</v>
      </c>
      <c r="I194" s="6">
        <v>23</v>
      </c>
      <c r="J194" s="6">
        <v>1917600</v>
      </c>
    </row>
    <row r="195" spans="1:10" ht="20.25" x14ac:dyDescent="0.3">
      <c r="A195" s="4">
        <v>57</v>
      </c>
      <c r="B195" s="3" t="s">
        <v>971</v>
      </c>
      <c r="C195" s="77">
        <v>4977.8</v>
      </c>
      <c r="D195" s="78">
        <v>158</v>
      </c>
      <c r="E195" s="154">
        <v>3</v>
      </c>
      <c r="F195" s="103">
        <v>14392200</v>
      </c>
      <c r="H195" s="6">
        <v>4977.8</v>
      </c>
      <c r="I195" s="6">
        <v>158</v>
      </c>
      <c r="J195" s="6">
        <v>14392200</v>
      </c>
    </row>
    <row r="196" spans="1:10" ht="20.25" x14ac:dyDescent="0.3">
      <c r="A196" s="4">
        <v>58</v>
      </c>
      <c r="B196" s="3" t="s">
        <v>972</v>
      </c>
      <c r="C196" s="77">
        <v>775.2</v>
      </c>
      <c r="D196" s="78">
        <v>16</v>
      </c>
      <c r="E196" s="154">
        <v>1</v>
      </c>
      <c r="F196" s="103">
        <v>3396600</v>
      </c>
      <c r="H196" s="6">
        <v>715.9</v>
      </c>
      <c r="I196" s="6">
        <v>16</v>
      </c>
      <c r="J196" s="6">
        <v>3396600</v>
      </c>
    </row>
    <row r="197" spans="1:10" customFormat="1" ht="71.25" customHeight="1" x14ac:dyDescent="0.25">
      <c r="A197" s="273" t="s">
        <v>1716</v>
      </c>
      <c r="B197" s="273"/>
      <c r="C197" s="273"/>
      <c r="D197" s="273"/>
      <c r="E197" s="273"/>
      <c r="F197" s="273"/>
    </row>
    <row r="198" spans="1:10" customFormat="1" ht="18.75" x14ac:dyDescent="0.3">
      <c r="A198" s="274" t="s">
        <v>1714</v>
      </c>
      <c r="B198" s="275"/>
      <c r="C198" s="150">
        <f>SUM(C199:C201)</f>
        <v>3182.5</v>
      </c>
      <c r="D198" s="151">
        <f t="shared" ref="D198:F198" si="0">SUM(D199:D201)</f>
        <v>134</v>
      </c>
      <c r="E198" s="151">
        <f t="shared" si="0"/>
        <v>3</v>
      </c>
      <c r="F198" s="150">
        <f t="shared" si="0"/>
        <v>8174681</v>
      </c>
    </row>
    <row r="199" spans="1:10" customFormat="1" ht="20.25" x14ac:dyDescent="0.3">
      <c r="A199" s="152">
        <v>1</v>
      </c>
      <c r="B199" s="171" t="s">
        <v>971</v>
      </c>
      <c r="C199" s="153">
        <v>522.9</v>
      </c>
      <c r="D199" s="154">
        <v>31</v>
      </c>
      <c r="E199" s="154">
        <v>1</v>
      </c>
      <c r="F199" s="153">
        <v>2094823</v>
      </c>
    </row>
    <row r="200" spans="1:10" customFormat="1" ht="20.25" x14ac:dyDescent="0.3">
      <c r="A200" s="152">
        <v>2</v>
      </c>
      <c r="B200" s="171" t="s">
        <v>921</v>
      </c>
      <c r="C200" s="153">
        <v>1826</v>
      </c>
      <c r="D200" s="154">
        <v>73</v>
      </c>
      <c r="E200" s="154">
        <v>1</v>
      </c>
      <c r="F200" s="153">
        <v>2852270</v>
      </c>
    </row>
    <row r="201" spans="1:10" customFormat="1" ht="20.25" x14ac:dyDescent="0.3">
      <c r="A201" s="152">
        <v>3</v>
      </c>
      <c r="B201" s="3" t="s">
        <v>935</v>
      </c>
      <c r="C201" s="153">
        <f>Перечень!I1233</f>
        <v>833.6</v>
      </c>
      <c r="D201" s="154">
        <f>Перечень!L1233</f>
        <v>30</v>
      </c>
      <c r="E201" s="154">
        <v>1</v>
      </c>
      <c r="F201" s="153">
        <v>3227588</v>
      </c>
    </row>
    <row r="206" spans="1:10" x14ac:dyDescent="0.25">
      <c r="F206" s="141"/>
    </row>
    <row r="207" spans="1:10" x14ac:dyDescent="0.25">
      <c r="F207" s="141"/>
    </row>
    <row r="208" spans="1:10" x14ac:dyDescent="0.25">
      <c r="F208" s="141"/>
    </row>
    <row r="209" spans="6:6" x14ac:dyDescent="0.25">
      <c r="F209" s="141"/>
    </row>
    <row r="210" spans="6:6" x14ac:dyDescent="0.25">
      <c r="F210" s="141"/>
    </row>
    <row r="211" spans="6:6" x14ac:dyDescent="0.25">
      <c r="F211" s="141"/>
    </row>
    <row r="212" spans="6:6" x14ac:dyDescent="0.25">
      <c r="F212" s="141"/>
    </row>
    <row r="213" spans="6:6" x14ac:dyDescent="0.25">
      <c r="F213" s="141"/>
    </row>
    <row r="214" spans="6:6" x14ac:dyDescent="0.25">
      <c r="F214" s="230"/>
    </row>
    <row r="215" spans="6:6" x14ac:dyDescent="0.25">
      <c r="F215" s="230">
        <f>SUBTOTAL(9,F210:F214)</f>
        <v>0</v>
      </c>
    </row>
    <row r="216" spans="6:6" x14ac:dyDescent="0.25">
      <c r="F216" s="230"/>
    </row>
    <row r="217" spans="6:6" x14ac:dyDescent="0.25">
      <c r="F217" s="230"/>
    </row>
    <row r="218" spans="6:6" x14ac:dyDescent="0.25">
      <c r="F218" s="230"/>
    </row>
  </sheetData>
  <autoFilter ref="A9:K201" xr:uid="{00000000-0009-0000-0000-000003000000}"/>
  <mergeCells count="11">
    <mergeCell ref="A197:F197"/>
    <mergeCell ref="A198:B198"/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96"/>
  <sheetViews>
    <sheetView topLeftCell="B1" zoomScale="20" zoomScaleNormal="20" workbookViewId="0">
      <selection activeCell="AB29" sqref="AB29"/>
    </sheetView>
  </sheetViews>
  <sheetFormatPr defaultRowHeight="15" x14ac:dyDescent="0.2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5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 x14ac:dyDescent="1.1499999999999999">
      <c r="B1" s="287" t="s">
        <v>1004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</row>
    <row r="2" spans="1:36" ht="90" x14ac:dyDescent="0.25">
      <c r="B2" s="288" t="s">
        <v>1043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</row>
    <row r="3" spans="1:36" ht="76.5" x14ac:dyDescent="1.05">
      <c r="B3" s="61" t="s">
        <v>1006</v>
      </c>
      <c r="C3" s="289" t="s">
        <v>1044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</row>
    <row r="4" spans="1:36" ht="76.5" x14ac:dyDescent="0.25">
      <c r="B4" s="61" t="s">
        <v>1007</v>
      </c>
      <c r="C4" s="290" t="s">
        <v>1033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</row>
    <row r="5" spans="1:36" ht="45.75" customHeight="1" x14ac:dyDescent="0.25">
      <c r="B5" s="247" t="s">
        <v>6</v>
      </c>
      <c r="C5" s="247" t="s">
        <v>7</v>
      </c>
      <c r="D5" s="291" t="s">
        <v>1034</v>
      </c>
      <c r="E5" s="291" t="s">
        <v>1035</v>
      </c>
      <c r="F5" s="294" t="s">
        <v>8</v>
      </c>
      <c r="G5" s="247" t="s">
        <v>1010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97" t="s">
        <v>9</v>
      </c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8" t="s">
        <v>10</v>
      </c>
      <c r="AI5" s="298" t="s">
        <v>11</v>
      </c>
      <c r="AJ5" s="298" t="s">
        <v>12</v>
      </c>
    </row>
    <row r="6" spans="1:36" ht="45.75" x14ac:dyDescent="0.25">
      <c r="B6" s="247"/>
      <c r="C6" s="247"/>
      <c r="D6" s="292"/>
      <c r="E6" s="292"/>
      <c r="F6" s="295"/>
      <c r="G6" s="247" t="s">
        <v>13</v>
      </c>
      <c r="H6" s="247"/>
      <c r="I6" s="247"/>
      <c r="J6" s="247"/>
      <c r="K6" s="247"/>
      <c r="L6" s="247"/>
      <c r="M6" s="304" t="s">
        <v>14</v>
      </c>
      <c r="N6" s="305"/>
      <c r="O6" s="304" t="s">
        <v>15</v>
      </c>
      <c r="P6" s="305"/>
      <c r="Q6" s="304" t="s">
        <v>16</v>
      </c>
      <c r="R6" s="305"/>
      <c r="S6" s="304" t="s">
        <v>17</v>
      </c>
      <c r="T6" s="305"/>
      <c r="U6" s="304" t="s">
        <v>18</v>
      </c>
      <c r="V6" s="305"/>
      <c r="W6" s="302" t="s">
        <v>19</v>
      </c>
      <c r="X6" s="302" t="s">
        <v>1036</v>
      </c>
      <c r="Y6" s="302" t="s">
        <v>21</v>
      </c>
      <c r="Z6" s="302" t="s">
        <v>22</v>
      </c>
      <c r="AA6" s="302" t="s">
        <v>23</v>
      </c>
      <c r="AB6" s="302" t="s">
        <v>1037</v>
      </c>
      <c r="AC6" s="302" t="s">
        <v>1038</v>
      </c>
      <c r="AD6" s="302" t="s">
        <v>1039</v>
      </c>
      <c r="AE6" s="310" t="s">
        <v>27</v>
      </c>
      <c r="AF6" s="310" t="s">
        <v>28</v>
      </c>
      <c r="AG6" s="310" t="s">
        <v>1040</v>
      </c>
      <c r="AH6" s="299"/>
      <c r="AI6" s="299"/>
      <c r="AJ6" s="299"/>
    </row>
    <row r="7" spans="1:36" ht="303" customHeight="1" x14ac:dyDescent="0.25">
      <c r="B7" s="247"/>
      <c r="C7" s="247"/>
      <c r="D7" s="292"/>
      <c r="E7" s="293"/>
      <c r="F7" s="296"/>
      <c r="G7" s="62" t="s">
        <v>30</v>
      </c>
      <c r="H7" s="62" t="s">
        <v>31</v>
      </c>
      <c r="I7" s="62" t="s">
        <v>32</v>
      </c>
      <c r="J7" s="62" t="s">
        <v>33</v>
      </c>
      <c r="K7" s="62" t="s">
        <v>34</v>
      </c>
      <c r="L7" s="62" t="s">
        <v>35</v>
      </c>
      <c r="M7" s="306"/>
      <c r="N7" s="307"/>
      <c r="O7" s="306"/>
      <c r="P7" s="307"/>
      <c r="Q7" s="306"/>
      <c r="R7" s="307"/>
      <c r="S7" s="306"/>
      <c r="T7" s="307"/>
      <c r="U7" s="306"/>
      <c r="V7" s="307"/>
      <c r="W7" s="303"/>
      <c r="X7" s="303"/>
      <c r="Y7" s="303"/>
      <c r="Z7" s="303"/>
      <c r="AA7" s="303"/>
      <c r="AB7" s="303"/>
      <c r="AC7" s="303"/>
      <c r="AD7" s="303"/>
      <c r="AE7" s="311"/>
      <c r="AF7" s="311"/>
      <c r="AG7" s="311"/>
      <c r="AH7" s="299"/>
      <c r="AI7" s="299"/>
      <c r="AJ7" s="299"/>
    </row>
    <row r="8" spans="1:36" ht="45.75" x14ac:dyDescent="0.25">
      <c r="B8" s="247"/>
      <c r="C8" s="247"/>
      <c r="D8" s="293"/>
      <c r="E8" s="179" t="s">
        <v>1041</v>
      </c>
      <c r="F8" s="178" t="s">
        <v>36</v>
      </c>
      <c r="G8" s="179" t="s">
        <v>36</v>
      </c>
      <c r="H8" s="179" t="s">
        <v>36</v>
      </c>
      <c r="I8" s="179" t="s">
        <v>36</v>
      </c>
      <c r="J8" s="179" t="s">
        <v>36</v>
      </c>
      <c r="K8" s="179" t="s">
        <v>36</v>
      </c>
      <c r="L8" s="179" t="s">
        <v>36</v>
      </c>
      <c r="M8" s="26" t="s">
        <v>37</v>
      </c>
      <c r="N8" s="179" t="s">
        <v>36</v>
      </c>
      <c r="O8" s="179" t="s">
        <v>38</v>
      </c>
      <c r="P8" s="179" t="s">
        <v>36</v>
      </c>
      <c r="Q8" s="179" t="s">
        <v>38</v>
      </c>
      <c r="R8" s="179" t="s">
        <v>36</v>
      </c>
      <c r="S8" s="179" t="s">
        <v>38</v>
      </c>
      <c r="T8" s="179" t="s">
        <v>36</v>
      </c>
      <c r="U8" s="179" t="s">
        <v>39</v>
      </c>
      <c r="V8" s="179" t="s">
        <v>36</v>
      </c>
      <c r="W8" s="179" t="s">
        <v>36</v>
      </c>
      <c r="X8" s="179" t="s">
        <v>36</v>
      </c>
      <c r="Y8" s="179" t="s">
        <v>36</v>
      </c>
      <c r="Z8" s="179" t="s">
        <v>36</v>
      </c>
      <c r="AA8" s="179" t="s">
        <v>36</v>
      </c>
      <c r="AB8" s="179" t="s">
        <v>36</v>
      </c>
      <c r="AC8" s="179" t="s">
        <v>36</v>
      </c>
      <c r="AD8" s="179" t="s">
        <v>36</v>
      </c>
      <c r="AE8" s="179" t="s">
        <v>36</v>
      </c>
      <c r="AF8" s="179" t="s">
        <v>36</v>
      </c>
      <c r="AG8" s="179" t="s">
        <v>36</v>
      </c>
      <c r="AH8" s="300"/>
      <c r="AI8" s="300"/>
      <c r="AJ8" s="300"/>
    </row>
    <row r="9" spans="1:36" ht="45.75" x14ac:dyDescent="0.65">
      <c r="B9" s="180">
        <v>1</v>
      </c>
      <c r="C9" s="180">
        <v>2</v>
      </c>
      <c r="D9" s="180">
        <v>3</v>
      </c>
      <c r="E9" s="180">
        <v>4</v>
      </c>
      <c r="F9" s="180">
        <v>5</v>
      </c>
      <c r="G9" s="180">
        <v>6</v>
      </c>
      <c r="H9" s="180">
        <v>7</v>
      </c>
      <c r="I9" s="180">
        <v>8</v>
      </c>
      <c r="J9" s="180">
        <v>9</v>
      </c>
      <c r="K9" s="180">
        <v>10</v>
      </c>
      <c r="L9" s="180">
        <v>11</v>
      </c>
      <c r="M9" s="63">
        <v>12</v>
      </c>
      <c r="N9" s="180">
        <v>13</v>
      </c>
      <c r="O9" s="180">
        <v>14</v>
      </c>
      <c r="P9" s="180">
        <v>15</v>
      </c>
      <c r="Q9" s="180">
        <v>16</v>
      </c>
      <c r="R9" s="180">
        <v>17</v>
      </c>
      <c r="S9" s="180">
        <v>18</v>
      </c>
      <c r="T9" s="180">
        <v>19</v>
      </c>
      <c r="U9" s="180">
        <v>20</v>
      </c>
      <c r="V9" s="180">
        <v>21</v>
      </c>
      <c r="W9" s="180">
        <v>22</v>
      </c>
      <c r="X9" s="180">
        <v>23</v>
      </c>
      <c r="Y9" s="180">
        <v>24</v>
      </c>
      <c r="Z9" s="180">
        <v>25</v>
      </c>
      <c r="AA9" s="180">
        <v>26</v>
      </c>
      <c r="AB9" s="180">
        <v>27</v>
      </c>
      <c r="AC9" s="180">
        <v>28</v>
      </c>
      <c r="AD9" s="180">
        <v>29</v>
      </c>
      <c r="AE9" s="180">
        <v>30</v>
      </c>
      <c r="AF9" s="180">
        <v>31</v>
      </c>
      <c r="AG9" s="180">
        <v>32</v>
      </c>
      <c r="AH9" s="180">
        <v>33</v>
      </c>
      <c r="AI9" s="180">
        <v>34</v>
      </c>
      <c r="AJ9" s="180">
        <v>35</v>
      </c>
    </row>
    <row r="10" spans="1:36" ht="61.5" x14ac:dyDescent="0.25">
      <c r="B10" s="301" t="s">
        <v>1042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</row>
    <row r="11" spans="1:36" s="73" customFormat="1" ht="61.5" x14ac:dyDescent="0.85">
      <c r="B11" s="70" t="s">
        <v>1076</v>
      </c>
      <c r="C11" s="74"/>
      <c r="D11" s="68" t="s">
        <v>915</v>
      </c>
      <c r="E11" s="69">
        <f>AVERAGE(E12:E58)</f>
        <v>1.0072967198581564</v>
      </c>
      <c r="F11" s="31">
        <f>F12+F14+F23+F27+F29+F32+F35+F41+F43+F47+F49+F51+F53+F57+F39+F25+F59+F61</f>
        <v>85637540.319999978</v>
      </c>
      <c r="G11" s="31">
        <f t="shared" ref="G11:AG11" si="0">G12+G14+G23+G27+G29+G32+G35+G41+G43+G47+G49+G51+G53+G57+G39+G25+G59+G61</f>
        <v>301430.32</v>
      </c>
      <c r="H11" s="31">
        <f t="shared" si="0"/>
        <v>0</v>
      </c>
      <c r="I11" s="31">
        <f t="shared" si="0"/>
        <v>0</v>
      </c>
      <c r="J11" s="31">
        <f t="shared" si="0"/>
        <v>440205.38</v>
      </c>
      <c r="K11" s="31">
        <f t="shared" si="0"/>
        <v>597348</v>
      </c>
      <c r="L11" s="31">
        <f t="shared" si="0"/>
        <v>0</v>
      </c>
      <c r="M11" s="76">
        <f t="shared" si="0"/>
        <v>0</v>
      </c>
      <c r="N11" s="31">
        <f t="shared" si="0"/>
        <v>0</v>
      </c>
      <c r="O11" s="31">
        <f t="shared" si="0"/>
        <v>15627.920000000002</v>
      </c>
      <c r="P11" s="31">
        <f t="shared" si="0"/>
        <v>73555018.289999992</v>
      </c>
      <c r="Q11" s="31">
        <f t="shared" si="0"/>
        <v>0</v>
      </c>
      <c r="R11" s="31">
        <f t="shared" si="0"/>
        <v>0</v>
      </c>
      <c r="S11" s="31">
        <f t="shared" si="0"/>
        <v>1805.54</v>
      </c>
      <c r="T11" s="31">
        <f t="shared" si="0"/>
        <v>7687672.6900000004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1213086.93</v>
      </c>
      <c r="AF11" s="31">
        <f t="shared" si="0"/>
        <v>1842778.7099999997</v>
      </c>
      <c r="AG11" s="31">
        <f t="shared" si="0"/>
        <v>0</v>
      </c>
      <c r="AH11" s="35" t="s">
        <v>915</v>
      </c>
      <c r="AI11" s="35" t="s">
        <v>915</v>
      </c>
      <c r="AJ11" s="35" t="s">
        <v>915</v>
      </c>
    </row>
    <row r="12" spans="1:36" s="20" customFormat="1" ht="61.5" x14ac:dyDescent="0.85">
      <c r="B12" s="70" t="s">
        <v>840</v>
      </c>
      <c r="C12" s="24"/>
      <c r="D12" s="68" t="s">
        <v>915</v>
      </c>
      <c r="E12" s="69">
        <f>AVERAGE(E13:E13)</f>
        <v>1.0055000000000001</v>
      </c>
      <c r="F12" s="31">
        <f>F13</f>
        <v>2320165.87</v>
      </c>
      <c r="G12" s="31">
        <f t="shared" ref="G12:AG12" si="1">G13</f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76">
        <f t="shared" si="1"/>
        <v>0</v>
      </c>
      <c r="N12" s="31">
        <f t="shared" si="1"/>
        <v>0</v>
      </c>
      <c r="O12" s="31">
        <f t="shared" si="1"/>
        <v>550.29999999999995</v>
      </c>
      <c r="P12" s="31">
        <v>2285877.7000000002</v>
      </c>
      <c r="Q12" s="31">
        <f t="shared" si="1"/>
        <v>0</v>
      </c>
      <c r="R12" s="31">
        <f t="shared" si="1"/>
        <v>0</v>
      </c>
      <c r="S12" s="31">
        <f t="shared" si="1"/>
        <v>0</v>
      </c>
      <c r="T12" s="31">
        <f t="shared" si="1"/>
        <v>0</v>
      </c>
      <c r="U12" s="31">
        <f t="shared" si="1"/>
        <v>0</v>
      </c>
      <c r="V12" s="31">
        <f t="shared" si="1"/>
        <v>0</v>
      </c>
      <c r="W12" s="31">
        <f t="shared" si="1"/>
        <v>0</v>
      </c>
      <c r="X12" s="31">
        <f t="shared" si="1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67">
        <f t="shared" si="1"/>
        <v>34288.17</v>
      </c>
      <c r="AF12" s="67">
        <f t="shared" si="1"/>
        <v>0</v>
      </c>
      <c r="AG12" s="31">
        <f t="shared" si="1"/>
        <v>0</v>
      </c>
      <c r="AH12" s="35" t="s">
        <v>915</v>
      </c>
      <c r="AI12" s="35" t="s">
        <v>915</v>
      </c>
      <c r="AJ12" s="35" t="s">
        <v>915</v>
      </c>
    </row>
    <row r="13" spans="1:36" s="20" customFormat="1" ht="61.5" x14ac:dyDescent="0.85">
      <c r="A13" s="20">
        <v>1</v>
      </c>
      <c r="B13" s="66">
        <f>SUBTOTAL(103,$A13:A$13)</f>
        <v>1</v>
      </c>
      <c r="C13" s="24" t="s">
        <v>1045</v>
      </c>
      <c r="D13" s="68" t="s">
        <v>1064</v>
      </c>
      <c r="E13" s="69">
        <v>1.0055000000000001</v>
      </c>
      <c r="F13" s="31">
        <f>G13+H13+I13+J13+K13+L13+N13+P13+R13+T13+V13+W13+X13+Y13+Z13+AA13+AB13+AC13+AD13+AE13+AF13+AG13</f>
        <v>2320165.87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76">
        <v>0</v>
      </c>
      <c r="N13" s="31">
        <v>0</v>
      </c>
      <c r="O13" s="31">
        <v>550.29999999999995</v>
      </c>
      <c r="P13" s="31">
        <v>2285877.7000000002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67">
        <f>ROUND(P13*1.5%,2)</f>
        <v>34288.17</v>
      </c>
      <c r="AF13" s="67">
        <v>0</v>
      </c>
      <c r="AG13" s="67">
        <v>0</v>
      </c>
      <c r="AH13" s="35" t="s">
        <v>274</v>
      </c>
      <c r="AI13" s="35">
        <v>2020</v>
      </c>
      <c r="AJ13" s="35">
        <v>2020</v>
      </c>
    </row>
    <row r="14" spans="1:36" s="20" customFormat="1" ht="61.5" x14ac:dyDescent="0.85">
      <c r="B14" s="70" t="s">
        <v>1072</v>
      </c>
      <c r="C14" s="24"/>
      <c r="D14" s="68" t="s">
        <v>915</v>
      </c>
      <c r="E14" s="69">
        <f>AVERAGE(E15:E22)</f>
        <v>1.0043124999999999</v>
      </c>
      <c r="F14" s="31">
        <f t="shared" ref="F14:AG14" si="2">SUM(F15:F22)</f>
        <v>23242998.569999997</v>
      </c>
      <c r="G14" s="31">
        <f t="shared" si="2"/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  <c r="K14" s="31">
        <f t="shared" si="2"/>
        <v>0</v>
      </c>
      <c r="L14" s="31">
        <f t="shared" si="2"/>
        <v>0</v>
      </c>
      <c r="M14" s="76">
        <f t="shared" si="2"/>
        <v>0</v>
      </c>
      <c r="N14" s="31">
        <f t="shared" si="2"/>
        <v>0</v>
      </c>
      <c r="O14" s="31">
        <f t="shared" si="2"/>
        <v>3863.2</v>
      </c>
      <c r="P14" s="31">
        <f t="shared" si="2"/>
        <v>18639858.859999999</v>
      </c>
      <c r="Q14" s="31">
        <f t="shared" si="2"/>
        <v>0</v>
      </c>
      <c r="R14" s="31">
        <f t="shared" si="2"/>
        <v>0</v>
      </c>
      <c r="S14" s="31">
        <f t="shared" si="2"/>
        <v>940.93</v>
      </c>
      <c r="T14" s="31">
        <f t="shared" si="2"/>
        <v>4032766.96</v>
      </c>
      <c r="U14" s="31">
        <f t="shared" si="2"/>
        <v>0</v>
      </c>
      <c r="V14" s="31">
        <f t="shared" si="2"/>
        <v>0</v>
      </c>
      <c r="W14" s="31">
        <f t="shared" si="2"/>
        <v>0</v>
      </c>
      <c r="X14" s="31">
        <f t="shared" si="2"/>
        <v>0</v>
      </c>
      <c r="Y14" s="31">
        <f t="shared" si="2"/>
        <v>0</v>
      </c>
      <c r="Z14" s="31">
        <f t="shared" si="2"/>
        <v>0</v>
      </c>
      <c r="AA14" s="31">
        <f t="shared" si="2"/>
        <v>0</v>
      </c>
      <c r="AB14" s="31">
        <f t="shared" si="2"/>
        <v>0</v>
      </c>
      <c r="AC14" s="31">
        <f t="shared" si="2"/>
        <v>0</v>
      </c>
      <c r="AD14" s="31">
        <f t="shared" si="2"/>
        <v>0</v>
      </c>
      <c r="AE14" s="31">
        <f t="shared" si="2"/>
        <v>340089.38000000006</v>
      </c>
      <c r="AF14" s="31">
        <f t="shared" si="2"/>
        <v>230283.37</v>
      </c>
      <c r="AG14" s="31">
        <f t="shared" si="2"/>
        <v>0</v>
      </c>
      <c r="AH14" s="35" t="s">
        <v>915</v>
      </c>
      <c r="AI14" s="35" t="s">
        <v>915</v>
      </c>
      <c r="AJ14" s="35" t="s">
        <v>915</v>
      </c>
    </row>
    <row r="15" spans="1:36" s="20" customFormat="1" ht="61.5" x14ac:dyDescent="0.85">
      <c r="A15" s="20">
        <v>1</v>
      </c>
      <c r="B15" s="66">
        <f>SUBTOTAL(103,$A$13:A15)</f>
        <v>2</v>
      </c>
      <c r="C15" s="24" t="s">
        <v>1046</v>
      </c>
      <c r="D15" s="68" t="s">
        <v>1065</v>
      </c>
      <c r="E15" s="69">
        <v>1.0047999999999999</v>
      </c>
      <c r="F15" s="31">
        <f t="shared" ref="F15:F62" si="3">G15+H15+I15+J15+K15+L15+N15+P15+R15+T15+V15+W15+X15+Y15+Z15+AA15+AB15+AC15+AD15+AE15+AF15+AG15</f>
        <v>7302960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76">
        <v>0</v>
      </c>
      <c r="N15" s="31">
        <v>0</v>
      </c>
      <c r="O15" s="31">
        <v>1441</v>
      </c>
      <c r="P15" s="31">
        <v>7195034.4800000004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67">
        <f>ROUND(P15*1.5%,2)</f>
        <v>107925.52</v>
      </c>
      <c r="AF15" s="67">
        <v>0</v>
      </c>
      <c r="AG15" s="67">
        <v>0</v>
      </c>
      <c r="AH15" s="35" t="s">
        <v>274</v>
      </c>
      <c r="AI15" s="35">
        <v>2020</v>
      </c>
      <c r="AJ15" s="35">
        <v>2020</v>
      </c>
    </row>
    <row r="16" spans="1:36" s="20" customFormat="1" ht="61.5" x14ac:dyDescent="0.85">
      <c r="A16" s="20">
        <v>1</v>
      </c>
      <c r="B16" s="66">
        <f>SUBTOTAL(103,$A$13:A16)</f>
        <v>3</v>
      </c>
      <c r="C16" s="24" t="s">
        <v>1047</v>
      </c>
      <c r="D16" s="68" t="s">
        <v>1064</v>
      </c>
      <c r="E16" s="69">
        <v>1</v>
      </c>
      <c r="F16" s="31">
        <f t="shared" si="3"/>
        <v>987000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76">
        <v>0</v>
      </c>
      <c r="N16" s="31">
        <v>0</v>
      </c>
      <c r="O16" s="31">
        <v>240</v>
      </c>
      <c r="P16" s="31">
        <v>972413.79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67">
        <f>ROUND(P16*1.5%,2)</f>
        <v>14586.21</v>
      </c>
      <c r="AF16" s="67">
        <v>0</v>
      </c>
      <c r="AG16" s="67">
        <v>0</v>
      </c>
      <c r="AH16" s="35" t="s">
        <v>274</v>
      </c>
      <c r="AI16" s="35">
        <v>2020</v>
      </c>
      <c r="AJ16" s="35">
        <v>2020</v>
      </c>
    </row>
    <row r="17" spans="1:36" s="20" customFormat="1" ht="61.5" x14ac:dyDescent="0.85">
      <c r="A17" s="20">
        <v>1</v>
      </c>
      <c r="B17" s="66">
        <f>SUBTOTAL(103,$A$13:A17)</f>
        <v>4</v>
      </c>
      <c r="C17" s="24" t="s">
        <v>1048</v>
      </c>
      <c r="D17" s="68" t="s">
        <v>1066</v>
      </c>
      <c r="E17" s="69">
        <v>1.0003</v>
      </c>
      <c r="F17" s="31">
        <f t="shared" si="3"/>
        <v>1153050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76">
        <v>0</v>
      </c>
      <c r="N17" s="31">
        <v>0</v>
      </c>
      <c r="O17" s="31">
        <v>257</v>
      </c>
      <c r="P17" s="31">
        <v>1047339.9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67">
        <f>ROUND(P17*1.5%,2)</f>
        <v>15710.1</v>
      </c>
      <c r="AF17" s="67">
        <v>90000</v>
      </c>
      <c r="AG17" s="67">
        <v>0</v>
      </c>
      <c r="AH17" s="35">
        <v>2020</v>
      </c>
      <c r="AI17" s="35">
        <v>2020</v>
      </c>
      <c r="AJ17" s="35">
        <v>2020</v>
      </c>
    </row>
    <row r="18" spans="1:36" s="20" customFormat="1" ht="61.5" x14ac:dyDescent="0.85">
      <c r="A18" s="20">
        <v>1</v>
      </c>
      <c r="B18" s="66">
        <f>SUBTOTAL(103,$A$13:A18)</f>
        <v>5</v>
      </c>
      <c r="C18" s="24" t="s">
        <v>1061</v>
      </c>
      <c r="D18" s="68" t="s">
        <v>1065</v>
      </c>
      <c r="E18" s="69">
        <v>1.0178</v>
      </c>
      <c r="F18" s="31">
        <f t="shared" si="3"/>
        <v>1498191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76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419</v>
      </c>
      <c r="T18" s="31">
        <v>1476050.25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67">
        <f>ROUND(T18*1.5%,2)</f>
        <v>22140.75</v>
      </c>
      <c r="AF18" s="67">
        <v>0</v>
      </c>
      <c r="AG18" s="67">
        <v>0</v>
      </c>
      <c r="AH18" s="35" t="s">
        <v>274</v>
      </c>
      <c r="AI18" s="35">
        <v>2020</v>
      </c>
      <c r="AJ18" s="35">
        <v>2020</v>
      </c>
    </row>
    <row r="19" spans="1:36" s="20" customFormat="1" ht="61.5" x14ac:dyDescent="0.85">
      <c r="A19" s="20">
        <v>1</v>
      </c>
      <c r="B19" s="66">
        <f>SUBTOTAL(103,$A$13:A19)</f>
        <v>6</v>
      </c>
      <c r="C19" s="24" t="s">
        <v>1106</v>
      </c>
      <c r="D19" s="68" t="s">
        <v>1067</v>
      </c>
      <c r="E19" s="69">
        <v>1</v>
      </c>
      <c r="F19" s="31">
        <f t="shared" si="3"/>
        <v>5363308.9399999995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76">
        <v>0</v>
      </c>
      <c r="N19" s="31">
        <v>0</v>
      </c>
      <c r="O19" s="31">
        <v>1019.2</v>
      </c>
      <c r="P19" s="31">
        <v>5284048.22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67">
        <f>ROUND(P19*1.5%,2)</f>
        <v>79260.72</v>
      </c>
      <c r="AF19" s="67">
        <v>0</v>
      </c>
      <c r="AG19" s="67">
        <v>0</v>
      </c>
      <c r="AH19" s="35" t="s">
        <v>274</v>
      </c>
      <c r="AI19" s="35">
        <v>2020</v>
      </c>
      <c r="AJ19" s="35">
        <v>2020</v>
      </c>
    </row>
    <row r="20" spans="1:36" s="20" customFormat="1" ht="61.5" x14ac:dyDescent="0.85">
      <c r="A20" s="20">
        <v>1</v>
      </c>
      <c r="B20" s="66">
        <f>SUBTOTAL(103,$A$13:A20)</f>
        <v>7</v>
      </c>
      <c r="C20" s="24" t="s">
        <v>1113</v>
      </c>
      <c r="D20" s="68" t="s">
        <v>1067</v>
      </c>
      <c r="E20" s="69">
        <v>1.0026999999999999</v>
      </c>
      <c r="F20" s="31">
        <f t="shared" si="3"/>
        <v>2595067.46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76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521.92999999999995</v>
      </c>
      <c r="T20" s="31">
        <v>2556716.71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67">
        <f>ROUND(T20*1.5%,2)</f>
        <v>38350.75</v>
      </c>
      <c r="AF20" s="67">
        <v>0</v>
      </c>
      <c r="AG20" s="67">
        <v>0</v>
      </c>
      <c r="AH20" s="35" t="s">
        <v>274</v>
      </c>
      <c r="AI20" s="35">
        <v>2020</v>
      </c>
      <c r="AJ20" s="35">
        <v>2020</v>
      </c>
    </row>
    <row r="21" spans="1:36" s="20" customFormat="1" ht="61.5" x14ac:dyDescent="0.85">
      <c r="A21" s="20">
        <v>1</v>
      </c>
      <c r="B21" s="66">
        <f>SUBTOTAL(103,$A$13:A21)</f>
        <v>8</v>
      </c>
      <c r="C21" s="24" t="s">
        <v>1114</v>
      </c>
      <c r="D21" s="68" t="s">
        <v>1065</v>
      </c>
      <c r="E21" s="69">
        <v>1.0053000000000001</v>
      </c>
      <c r="F21" s="31">
        <f t="shared" si="3"/>
        <v>2328497.1500000004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76">
        <v>0</v>
      </c>
      <c r="N21" s="31">
        <v>0</v>
      </c>
      <c r="O21" s="31">
        <v>550</v>
      </c>
      <c r="P21" s="31">
        <v>2244545.6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67">
        <f>ROUND(P21*1.5%,2)</f>
        <v>33668.18</v>
      </c>
      <c r="AF21" s="183">
        <v>50283.37</v>
      </c>
      <c r="AG21" s="67">
        <v>0</v>
      </c>
      <c r="AH21" s="35">
        <v>2020</v>
      </c>
      <c r="AI21" s="35">
        <v>2020</v>
      </c>
      <c r="AJ21" s="35">
        <v>2020</v>
      </c>
    </row>
    <row r="22" spans="1:36" s="20" customFormat="1" ht="61.5" x14ac:dyDescent="0.85">
      <c r="A22" s="20">
        <v>1</v>
      </c>
      <c r="B22" s="66">
        <f>SUBTOTAL(103,$A$13:A22)</f>
        <v>9</v>
      </c>
      <c r="C22" s="24" t="s">
        <v>1429</v>
      </c>
      <c r="D22" s="68" t="s">
        <v>1065</v>
      </c>
      <c r="E22" s="69">
        <v>1.0036</v>
      </c>
      <c r="F22" s="31">
        <f t="shared" si="3"/>
        <v>2014924.02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76">
        <v>0</v>
      </c>
      <c r="N22" s="31">
        <v>0</v>
      </c>
      <c r="O22" s="31">
        <v>356</v>
      </c>
      <c r="P22" s="31">
        <v>1896476.87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67">
        <f>ROUND(P22*1.5%,2)</f>
        <v>28447.15</v>
      </c>
      <c r="AF22" s="67">
        <v>90000</v>
      </c>
      <c r="AG22" s="67">
        <v>0</v>
      </c>
      <c r="AH22" s="35">
        <v>2020</v>
      </c>
      <c r="AI22" s="35">
        <v>2020</v>
      </c>
      <c r="AJ22" s="35">
        <v>2020</v>
      </c>
    </row>
    <row r="23" spans="1:36" s="20" customFormat="1" ht="61.5" x14ac:dyDescent="0.85">
      <c r="B23" s="70" t="s">
        <v>844</v>
      </c>
      <c r="C23" s="24"/>
      <c r="D23" s="68" t="s">
        <v>915</v>
      </c>
      <c r="E23" s="69">
        <f>AVERAGE(E24)</f>
        <v>1.0267999999999999</v>
      </c>
      <c r="F23" s="31">
        <f>F24</f>
        <v>2196540.5</v>
      </c>
      <c r="G23" s="31">
        <f t="shared" ref="G23:AG23" si="4">G24</f>
        <v>0</v>
      </c>
      <c r="H23" s="31">
        <f t="shared" si="4"/>
        <v>0</v>
      </c>
      <c r="I23" s="31">
        <f t="shared" si="4"/>
        <v>0</v>
      </c>
      <c r="J23" s="31">
        <f t="shared" si="4"/>
        <v>0</v>
      </c>
      <c r="K23" s="31">
        <f t="shared" si="4"/>
        <v>0</v>
      </c>
      <c r="L23" s="31">
        <f t="shared" si="4"/>
        <v>0</v>
      </c>
      <c r="M23" s="76">
        <f t="shared" si="4"/>
        <v>0</v>
      </c>
      <c r="N23" s="31">
        <f t="shared" si="4"/>
        <v>0</v>
      </c>
      <c r="O23" s="31">
        <f t="shared" si="4"/>
        <v>386.8</v>
      </c>
      <c r="P23" s="31">
        <f t="shared" si="4"/>
        <v>2085233.76</v>
      </c>
      <c r="Q23" s="31">
        <f t="shared" si="4"/>
        <v>0</v>
      </c>
      <c r="R23" s="31">
        <f t="shared" si="4"/>
        <v>0</v>
      </c>
      <c r="S23" s="31">
        <f t="shared" si="4"/>
        <v>0</v>
      </c>
      <c r="T23" s="31">
        <f t="shared" si="4"/>
        <v>0</v>
      </c>
      <c r="U23" s="31">
        <f t="shared" si="4"/>
        <v>0</v>
      </c>
      <c r="V23" s="31">
        <f t="shared" si="4"/>
        <v>0</v>
      </c>
      <c r="W23" s="31">
        <f t="shared" si="4"/>
        <v>0</v>
      </c>
      <c r="X23" s="31">
        <f t="shared" si="4"/>
        <v>0</v>
      </c>
      <c r="Y23" s="31">
        <f t="shared" si="4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67">
        <f t="shared" si="4"/>
        <v>31278.51</v>
      </c>
      <c r="AF23" s="67">
        <f t="shared" si="4"/>
        <v>80028.23</v>
      </c>
      <c r="AG23" s="31">
        <f t="shared" si="4"/>
        <v>0</v>
      </c>
      <c r="AH23" s="35" t="s">
        <v>915</v>
      </c>
      <c r="AI23" s="35" t="s">
        <v>915</v>
      </c>
      <c r="AJ23" s="35" t="s">
        <v>915</v>
      </c>
    </row>
    <row r="24" spans="1:36" s="20" customFormat="1" ht="61.5" x14ac:dyDescent="0.85">
      <c r="A24" s="20">
        <v>1</v>
      </c>
      <c r="B24" s="66">
        <f>SUBTOTAL(103,$A$13:A24)</f>
        <v>10</v>
      </c>
      <c r="C24" s="24" t="s">
        <v>699</v>
      </c>
      <c r="D24" s="68" t="s">
        <v>1067</v>
      </c>
      <c r="E24" s="69">
        <v>1.0267999999999999</v>
      </c>
      <c r="F24" s="31">
        <f t="shared" si="3"/>
        <v>2196540.5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76">
        <v>0</v>
      </c>
      <c r="N24" s="31">
        <v>0</v>
      </c>
      <c r="O24" s="31">
        <v>386.8</v>
      </c>
      <c r="P24" s="31">
        <v>2085233.76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67">
        <f>ROUND(P24*1.5%,2)</f>
        <v>31278.51</v>
      </c>
      <c r="AF24" s="183">
        <v>80028.23</v>
      </c>
      <c r="AG24" s="31">
        <v>0</v>
      </c>
      <c r="AH24" s="35">
        <v>2020</v>
      </c>
      <c r="AI24" s="35">
        <v>2020</v>
      </c>
      <c r="AJ24" s="35">
        <v>2020</v>
      </c>
    </row>
    <row r="25" spans="1:36" s="20" customFormat="1" ht="61.5" x14ac:dyDescent="0.85">
      <c r="B25" s="70" t="s">
        <v>848</v>
      </c>
      <c r="C25" s="24"/>
      <c r="D25" s="68" t="s">
        <v>915</v>
      </c>
      <c r="E25" s="69">
        <f>AVERAGE(E26)</f>
        <v>1</v>
      </c>
      <c r="F25" s="31">
        <f>F26</f>
        <v>6235729.1299999999</v>
      </c>
      <c r="G25" s="31">
        <f t="shared" ref="G25:AG25" si="5">G26</f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76">
        <f t="shared" si="5"/>
        <v>0</v>
      </c>
      <c r="N25" s="31">
        <f t="shared" si="5"/>
        <v>0</v>
      </c>
      <c r="O25" s="31">
        <f t="shared" si="5"/>
        <v>1080.5999999999999</v>
      </c>
      <c r="P25" s="31">
        <f t="shared" si="5"/>
        <v>6143575.5</v>
      </c>
      <c r="Q25" s="31">
        <f t="shared" si="5"/>
        <v>0</v>
      </c>
      <c r="R25" s="31">
        <f t="shared" si="5"/>
        <v>0</v>
      </c>
      <c r="S25" s="31">
        <f t="shared" si="5"/>
        <v>0</v>
      </c>
      <c r="T25" s="31">
        <f t="shared" si="5"/>
        <v>0</v>
      </c>
      <c r="U25" s="31">
        <f t="shared" si="5"/>
        <v>0</v>
      </c>
      <c r="V25" s="31">
        <f t="shared" si="5"/>
        <v>0</v>
      </c>
      <c r="W25" s="31">
        <f t="shared" si="5"/>
        <v>0</v>
      </c>
      <c r="X25" s="31">
        <f t="shared" si="5"/>
        <v>0</v>
      </c>
      <c r="Y25" s="31">
        <f t="shared" si="5"/>
        <v>0</v>
      </c>
      <c r="Z25" s="31">
        <f t="shared" si="5"/>
        <v>0</v>
      </c>
      <c r="AA25" s="31">
        <f t="shared" si="5"/>
        <v>0</v>
      </c>
      <c r="AB25" s="31">
        <f t="shared" si="5"/>
        <v>0</v>
      </c>
      <c r="AC25" s="31">
        <f t="shared" si="5"/>
        <v>0</v>
      </c>
      <c r="AD25" s="31">
        <f t="shared" si="5"/>
        <v>0</v>
      </c>
      <c r="AE25" s="67">
        <f t="shared" si="5"/>
        <v>92153.63</v>
      </c>
      <c r="AF25" s="67">
        <f t="shared" si="5"/>
        <v>0</v>
      </c>
      <c r="AG25" s="31">
        <f t="shared" si="5"/>
        <v>0</v>
      </c>
      <c r="AH25" s="35" t="s">
        <v>915</v>
      </c>
      <c r="AI25" s="35" t="s">
        <v>915</v>
      </c>
      <c r="AJ25" s="35" t="s">
        <v>915</v>
      </c>
    </row>
    <row r="26" spans="1:36" s="20" customFormat="1" ht="61.5" x14ac:dyDescent="0.85">
      <c r="A26" s="20">
        <v>1</v>
      </c>
      <c r="B26" s="66">
        <f>SUBTOTAL(103,$A$13:A26)</f>
        <v>11</v>
      </c>
      <c r="C26" s="24" t="s">
        <v>1096</v>
      </c>
      <c r="D26" s="68" t="s">
        <v>1068</v>
      </c>
      <c r="E26" s="69">
        <v>1</v>
      </c>
      <c r="F26" s="31">
        <f t="shared" si="3"/>
        <v>6235729.1299999999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76">
        <v>0</v>
      </c>
      <c r="N26" s="31">
        <v>0</v>
      </c>
      <c r="O26" s="31">
        <v>1080.5999999999999</v>
      </c>
      <c r="P26" s="31">
        <v>6143575.5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67">
        <f>ROUND(P26*1.5%,2)</f>
        <v>92153.63</v>
      </c>
      <c r="AF26" s="67">
        <v>0</v>
      </c>
      <c r="AG26" s="31">
        <v>0</v>
      </c>
      <c r="AH26" s="35" t="s">
        <v>274</v>
      </c>
      <c r="AI26" s="35">
        <v>2020</v>
      </c>
      <c r="AJ26" s="35">
        <v>2020</v>
      </c>
    </row>
    <row r="27" spans="1:36" s="20" customFormat="1" ht="61.5" x14ac:dyDescent="0.85">
      <c r="B27" s="70" t="s">
        <v>849</v>
      </c>
      <c r="C27" s="24"/>
      <c r="D27" s="68" t="s">
        <v>915</v>
      </c>
      <c r="E27" s="69">
        <f>AVERAGE(E28)</f>
        <v>1.0308999999999999</v>
      </c>
      <c r="F27" s="31">
        <f>F28</f>
        <v>1375440</v>
      </c>
      <c r="G27" s="31">
        <f t="shared" ref="G27:AG27" si="6">G28</f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76">
        <f t="shared" si="6"/>
        <v>0</v>
      </c>
      <c r="N27" s="31">
        <f t="shared" si="6"/>
        <v>0</v>
      </c>
      <c r="O27" s="31">
        <f t="shared" si="6"/>
        <v>292.8</v>
      </c>
      <c r="P27" s="31">
        <f t="shared" si="6"/>
        <v>1296000</v>
      </c>
      <c r="Q27" s="31">
        <f t="shared" si="6"/>
        <v>0</v>
      </c>
      <c r="R27" s="31">
        <f t="shared" si="6"/>
        <v>0</v>
      </c>
      <c r="S27" s="31">
        <f t="shared" si="6"/>
        <v>0</v>
      </c>
      <c r="T27" s="31">
        <f t="shared" si="6"/>
        <v>0</v>
      </c>
      <c r="U27" s="31">
        <f t="shared" si="6"/>
        <v>0</v>
      </c>
      <c r="V27" s="31">
        <f t="shared" si="6"/>
        <v>0</v>
      </c>
      <c r="W27" s="31">
        <f t="shared" si="6"/>
        <v>0</v>
      </c>
      <c r="X27" s="31">
        <f t="shared" si="6"/>
        <v>0</v>
      </c>
      <c r="Y27" s="31">
        <f t="shared" si="6"/>
        <v>0</v>
      </c>
      <c r="Z27" s="31">
        <f t="shared" si="6"/>
        <v>0</v>
      </c>
      <c r="AA27" s="31">
        <f t="shared" si="6"/>
        <v>0</v>
      </c>
      <c r="AB27" s="31">
        <f t="shared" si="6"/>
        <v>0</v>
      </c>
      <c r="AC27" s="31">
        <f t="shared" si="6"/>
        <v>0</v>
      </c>
      <c r="AD27" s="31">
        <f t="shared" si="6"/>
        <v>0</v>
      </c>
      <c r="AE27" s="67">
        <f t="shared" si="6"/>
        <v>19440</v>
      </c>
      <c r="AF27" s="67">
        <f t="shared" si="6"/>
        <v>60000</v>
      </c>
      <c r="AG27" s="31">
        <f t="shared" si="6"/>
        <v>0</v>
      </c>
      <c r="AH27" s="35" t="s">
        <v>915</v>
      </c>
      <c r="AI27" s="35" t="s">
        <v>915</v>
      </c>
      <c r="AJ27" s="35" t="s">
        <v>915</v>
      </c>
    </row>
    <row r="28" spans="1:36" s="20" customFormat="1" ht="61.5" x14ac:dyDescent="0.85">
      <c r="A28" s="20">
        <v>1</v>
      </c>
      <c r="B28" s="66">
        <f>SUBTOTAL(103,$A$13:A28)</f>
        <v>12</v>
      </c>
      <c r="C28" s="24" t="s">
        <v>1049</v>
      </c>
      <c r="D28" s="68" t="s">
        <v>1064</v>
      </c>
      <c r="E28" s="69">
        <v>1.0308999999999999</v>
      </c>
      <c r="F28" s="31">
        <f t="shared" si="3"/>
        <v>1375440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76">
        <v>0</v>
      </c>
      <c r="N28" s="31">
        <v>0</v>
      </c>
      <c r="O28" s="31">
        <v>292.8</v>
      </c>
      <c r="P28" s="31">
        <v>1296000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67">
        <f>ROUND(P28*1.5%,2)</f>
        <v>19440</v>
      </c>
      <c r="AF28" s="67">
        <v>60000</v>
      </c>
      <c r="AG28" s="31">
        <v>0</v>
      </c>
      <c r="AH28" s="35">
        <v>2020</v>
      </c>
      <c r="AI28" s="35">
        <v>2020</v>
      </c>
      <c r="AJ28" s="35">
        <v>2020</v>
      </c>
    </row>
    <row r="29" spans="1:36" s="20" customFormat="1" ht="61.5" x14ac:dyDescent="0.85">
      <c r="B29" s="70" t="s">
        <v>1073</v>
      </c>
      <c r="C29" s="24"/>
      <c r="D29" s="68" t="s">
        <v>915</v>
      </c>
      <c r="E29" s="69">
        <f>AVERAGE(E30:E31)</f>
        <v>1.0206</v>
      </c>
      <c r="F29" s="31">
        <f t="shared" ref="F29:AG29" si="7">SUM(F30:F31)</f>
        <v>3273930.56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76">
        <f t="shared" si="7"/>
        <v>0</v>
      </c>
      <c r="N29" s="31">
        <f t="shared" si="7"/>
        <v>0</v>
      </c>
      <c r="O29" s="31">
        <f t="shared" si="7"/>
        <v>380</v>
      </c>
      <c r="P29" s="31">
        <f t="shared" si="7"/>
        <v>1708374.38</v>
      </c>
      <c r="Q29" s="31">
        <f t="shared" si="7"/>
        <v>0</v>
      </c>
      <c r="R29" s="31">
        <f t="shared" si="7"/>
        <v>0</v>
      </c>
      <c r="S29" s="31">
        <f t="shared" si="7"/>
        <v>429.61</v>
      </c>
      <c r="T29" s="31">
        <f t="shared" si="7"/>
        <v>1408131.99</v>
      </c>
      <c r="U29" s="31">
        <f t="shared" si="7"/>
        <v>0</v>
      </c>
      <c r="V29" s="31">
        <f t="shared" si="7"/>
        <v>0</v>
      </c>
      <c r="W29" s="31">
        <f t="shared" si="7"/>
        <v>0</v>
      </c>
      <c r="X29" s="31">
        <f t="shared" si="7"/>
        <v>0</v>
      </c>
      <c r="Y29" s="31">
        <f t="shared" si="7"/>
        <v>0</v>
      </c>
      <c r="Z29" s="31">
        <f t="shared" si="7"/>
        <v>0</v>
      </c>
      <c r="AA29" s="31">
        <f t="shared" si="7"/>
        <v>0</v>
      </c>
      <c r="AB29" s="31">
        <f t="shared" si="7"/>
        <v>0</v>
      </c>
      <c r="AC29" s="31">
        <f t="shared" si="7"/>
        <v>0</v>
      </c>
      <c r="AD29" s="31">
        <f t="shared" si="7"/>
        <v>0</v>
      </c>
      <c r="AE29" s="67">
        <f t="shared" si="7"/>
        <v>46747.6</v>
      </c>
      <c r="AF29" s="67">
        <f t="shared" si="7"/>
        <v>110676.59</v>
      </c>
      <c r="AG29" s="31">
        <f t="shared" si="7"/>
        <v>0</v>
      </c>
      <c r="AH29" s="35" t="s">
        <v>915</v>
      </c>
      <c r="AI29" s="35" t="s">
        <v>915</v>
      </c>
      <c r="AJ29" s="35" t="s">
        <v>915</v>
      </c>
    </row>
    <row r="30" spans="1:36" s="20" customFormat="1" ht="61.5" x14ac:dyDescent="0.85">
      <c r="A30" s="20">
        <v>1</v>
      </c>
      <c r="B30" s="66">
        <f>SUBTOTAL(103,$A$13:A30)</f>
        <v>13</v>
      </c>
      <c r="C30" s="24" t="s">
        <v>1050</v>
      </c>
      <c r="D30" s="68" t="s">
        <v>1067</v>
      </c>
      <c r="E30" s="69">
        <v>1.0385</v>
      </c>
      <c r="F30" s="31">
        <f t="shared" si="3"/>
        <v>1784676.59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76">
        <v>0</v>
      </c>
      <c r="N30" s="31">
        <v>0</v>
      </c>
      <c r="O30" s="31">
        <v>380</v>
      </c>
      <c r="P30" s="31">
        <v>1708374.38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67">
        <f>ROUND(P30*1.5%,2)</f>
        <v>25625.62</v>
      </c>
      <c r="AF30" s="67">
        <v>50676.59</v>
      </c>
      <c r="AG30" s="31">
        <v>0</v>
      </c>
      <c r="AH30" s="35">
        <v>2020</v>
      </c>
      <c r="AI30" s="35">
        <v>2020</v>
      </c>
      <c r="AJ30" s="35">
        <v>2020</v>
      </c>
    </row>
    <row r="31" spans="1:36" s="20" customFormat="1" ht="61.5" x14ac:dyDescent="0.85">
      <c r="A31" s="20">
        <v>1</v>
      </c>
      <c r="B31" s="66">
        <f>SUBTOTAL(103,$A$13:A31)</f>
        <v>14</v>
      </c>
      <c r="C31" s="24" t="s">
        <v>1051</v>
      </c>
      <c r="D31" s="68" t="s">
        <v>1067</v>
      </c>
      <c r="E31" s="69">
        <v>1.0026999999999999</v>
      </c>
      <c r="F31" s="31">
        <f t="shared" si="3"/>
        <v>1489253.97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76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429.61</v>
      </c>
      <c r="T31" s="31">
        <v>1408131.99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67">
        <f>ROUND(T31*1.5%,2)</f>
        <v>21121.98</v>
      </c>
      <c r="AF31" s="67">
        <v>60000</v>
      </c>
      <c r="AG31" s="31">
        <v>0</v>
      </c>
      <c r="AH31" s="35">
        <v>2020</v>
      </c>
      <c r="AI31" s="35">
        <v>2020</v>
      </c>
      <c r="AJ31" s="35">
        <v>2020</v>
      </c>
    </row>
    <row r="32" spans="1:36" s="20" customFormat="1" ht="61.5" x14ac:dyDescent="0.85">
      <c r="B32" s="70" t="s">
        <v>856</v>
      </c>
      <c r="C32" s="24"/>
      <c r="D32" s="68" t="s">
        <v>915</v>
      </c>
      <c r="E32" s="69">
        <f>AVERAGE(E33:E34)</f>
        <v>1</v>
      </c>
      <c r="F32" s="31">
        <f>SUM(F33:F34)</f>
        <v>3465600.02</v>
      </c>
      <c r="G32" s="31">
        <f t="shared" ref="G32:AG32" si="8">SUM(G33:G34)</f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76">
        <f t="shared" si="8"/>
        <v>0</v>
      </c>
      <c r="N32" s="31">
        <f t="shared" si="8"/>
        <v>0</v>
      </c>
      <c r="O32" s="31">
        <f t="shared" si="8"/>
        <v>722</v>
      </c>
      <c r="P32" s="31">
        <f t="shared" si="8"/>
        <v>3227192.12</v>
      </c>
      <c r="Q32" s="31">
        <f t="shared" si="8"/>
        <v>0</v>
      </c>
      <c r="R32" s="31">
        <f t="shared" si="8"/>
        <v>0</v>
      </c>
      <c r="S32" s="31">
        <f t="shared" si="8"/>
        <v>0</v>
      </c>
      <c r="T32" s="31">
        <f t="shared" si="8"/>
        <v>0</v>
      </c>
      <c r="U32" s="31">
        <f t="shared" si="8"/>
        <v>0</v>
      </c>
      <c r="V32" s="31">
        <f t="shared" si="8"/>
        <v>0</v>
      </c>
      <c r="W32" s="31">
        <f t="shared" si="8"/>
        <v>0</v>
      </c>
      <c r="X32" s="31">
        <f t="shared" si="8"/>
        <v>0</v>
      </c>
      <c r="Y32" s="31">
        <f t="shared" si="8"/>
        <v>0</v>
      </c>
      <c r="Z32" s="31">
        <f t="shared" si="8"/>
        <v>0</v>
      </c>
      <c r="AA32" s="31">
        <f t="shared" si="8"/>
        <v>0</v>
      </c>
      <c r="AB32" s="31">
        <f t="shared" si="8"/>
        <v>0</v>
      </c>
      <c r="AC32" s="31">
        <f t="shared" si="8"/>
        <v>0</v>
      </c>
      <c r="AD32" s="31">
        <f t="shared" si="8"/>
        <v>0</v>
      </c>
      <c r="AE32" s="67">
        <f t="shared" si="8"/>
        <v>48407.88</v>
      </c>
      <c r="AF32" s="67">
        <f t="shared" si="8"/>
        <v>190000.02000000002</v>
      </c>
      <c r="AG32" s="31">
        <f t="shared" si="8"/>
        <v>0</v>
      </c>
      <c r="AH32" s="35" t="s">
        <v>915</v>
      </c>
      <c r="AI32" s="35" t="s">
        <v>915</v>
      </c>
      <c r="AJ32" s="35" t="s">
        <v>915</v>
      </c>
    </row>
    <row r="33" spans="1:36" s="20" customFormat="1" ht="61.5" x14ac:dyDescent="0.85">
      <c r="A33" s="20">
        <v>1</v>
      </c>
      <c r="B33" s="66">
        <f>SUBTOTAL(103,$A$13:A33)</f>
        <v>15</v>
      </c>
      <c r="C33" s="24" t="s">
        <v>1071</v>
      </c>
      <c r="D33" s="68" t="s">
        <v>1065</v>
      </c>
      <c r="E33" s="69">
        <v>1</v>
      </c>
      <c r="F33" s="31">
        <f t="shared" si="3"/>
        <v>2667360.02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76">
        <v>0</v>
      </c>
      <c r="N33" s="31">
        <v>0</v>
      </c>
      <c r="O33" s="31">
        <v>555.70000000000005</v>
      </c>
      <c r="P33" s="31">
        <v>2529418.7200000002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67">
        <f>ROUND(P33*1.5%,2)</f>
        <v>37941.279999999999</v>
      </c>
      <c r="AF33" s="67">
        <v>100000.02</v>
      </c>
      <c r="AG33" s="31">
        <v>0</v>
      </c>
      <c r="AH33" s="35">
        <v>2020</v>
      </c>
      <c r="AI33" s="35">
        <v>2020</v>
      </c>
      <c r="AJ33" s="35">
        <v>2020</v>
      </c>
    </row>
    <row r="34" spans="1:36" s="20" customFormat="1" ht="61.5" x14ac:dyDescent="0.85">
      <c r="A34" s="20">
        <v>1</v>
      </c>
      <c r="B34" s="66">
        <f>SUBTOTAL(103,$A$13:A34)</f>
        <v>16</v>
      </c>
      <c r="C34" s="24" t="s">
        <v>1052</v>
      </c>
      <c r="D34" s="68" t="s">
        <v>1065</v>
      </c>
      <c r="E34" s="69">
        <v>1</v>
      </c>
      <c r="F34" s="31">
        <f t="shared" si="3"/>
        <v>798240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76">
        <v>0</v>
      </c>
      <c r="N34" s="31">
        <v>0</v>
      </c>
      <c r="O34" s="31">
        <v>166.3</v>
      </c>
      <c r="P34" s="31">
        <v>697773.4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67">
        <f>ROUND(P34*1.5%,2)</f>
        <v>10466.6</v>
      </c>
      <c r="AF34" s="67">
        <v>90000</v>
      </c>
      <c r="AG34" s="31">
        <v>0</v>
      </c>
      <c r="AH34" s="35">
        <v>2020</v>
      </c>
      <c r="AI34" s="35">
        <v>2020</v>
      </c>
      <c r="AJ34" s="35">
        <v>2020</v>
      </c>
    </row>
    <row r="35" spans="1:36" s="20" customFormat="1" ht="61.5" x14ac:dyDescent="0.85">
      <c r="B35" s="70" t="s">
        <v>785</v>
      </c>
      <c r="C35" s="24"/>
      <c r="D35" s="68" t="s">
        <v>915</v>
      </c>
      <c r="E35" s="69">
        <f>AVERAGE(E36:E40)</f>
        <v>1.0075000000000001</v>
      </c>
      <c r="F35" s="31">
        <f>SUM(F36:F38)</f>
        <v>5860829.3999999994</v>
      </c>
      <c r="G35" s="31">
        <f t="shared" ref="G35:AG35" si="9">SUM(G36:G38)</f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76">
        <f t="shared" si="9"/>
        <v>0</v>
      </c>
      <c r="N35" s="31">
        <f t="shared" si="9"/>
        <v>0</v>
      </c>
      <c r="O35" s="31">
        <f t="shared" si="9"/>
        <v>1215.3400000000001</v>
      </c>
      <c r="P35" s="31">
        <f t="shared" si="9"/>
        <v>5547454.3900000006</v>
      </c>
      <c r="Q35" s="31">
        <f t="shared" si="9"/>
        <v>0</v>
      </c>
      <c r="R35" s="31">
        <f t="shared" si="9"/>
        <v>0</v>
      </c>
      <c r="S35" s="31">
        <f t="shared" si="9"/>
        <v>0</v>
      </c>
      <c r="T35" s="31">
        <f t="shared" si="9"/>
        <v>0</v>
      </c>
      <c r="U35" s="31">
        <f t="shared" si="9"/>
        <v>0</v>
      </c>
      <c r="V35" s="31">
        <f t="shared" si="9"/>
        <v>0</v>
      </c>
      <c r="W35" s="31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9"/>
        <v>0</v>
      </c>
      <c r="AB35" s="31">
        <f t="shared" si="9"/>
        <v>0</v>
      </c>
      <c r="AC35" s="31">
        <f t="shared" si="9"/>
        <v>0</v>
      </c>
      <c r="AD35" s="31">
        <f t="shared" si="9"/>
        <v>0</v>
      </c>
      <c r="AE35" s="67">
        <f t="shared" si="9"/>
        <v>83211.819999999992</v>
      </c>
      <c r="AF35" s="67">
        <f t="shared" si="9"/>
        <v>230163.19</v>
      </c>
      <c r="AG35" s="31">
        <f t="shared" si="9"/>
        <v>0</v>
      </c>
      <c r="AH35" s="35" t="s">
        <v>915</v>
      </c>
      <c r="AI35" s="35" t="s">
        <v>915</v>
      </c>
      <c r="AJ35" s="35" t="s">
        <v>915</v>
      </c>
    </row>
    <row r="36" spans="1:36" s="20" customFormat="1" ht="61.5" x14ac:dyDescent="0.85">
      <c r="A36" s="20">
        <v>1</v>
      </c>
      <c r="B36" s="66">
        <f>SUBTOTAL(103,$A$13:A36)</f>
        <v>17</v>
      </c>
      <c r="C36" s="24" t="s">
        <v>1053</v>
      </c>
      <c r="D36" s="68" t="s">
        <v>1066</v>
      </c>
      <c r="E36" s="69">
        <v>1.0043</v>
      </c>
      <c r="F36" s="31">
        <f t="shared" si="3"/>
        <v>1040984.0299999999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76">
        <v>0</v>
      </c>
      <c r="N36" s="31">
        <v>0</v>
      </c>
      <c r="O36" s="31">
        <v>206.34</v>
      </c>
      <c r="P36" s="31">
        <v>972873.11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67">
        <f>ROUND(P36*1.5%,2)</f>
        <v>14593.1</v>
      </c>
      <c r="AF36" s="67">
        <v>53517.82</v>
      </c>
      <c r="AG36" s="31">
        <v>0</v>
      </c>
      <c r="AH36" s="35">
        <v>2020</v>
      </c>
      <c r="AI36" s="35">
        <v>2020</v>
      </c>
      <c r="AJ36" s="35">
        <v>2020</v>
      </c>
    </row>
    <row r="37" spans="1:36" s="20" customFormat="1" ht="61.5" x14ac:dyDescent="0.85">
      <c r="A37" s="20">
        <v>1</v>
      </c>
      <c r="B37" s="66">
        <f>SUBTOTAL(103,$A$13:A37)</f>
        <v>18</v>
      </c>
      <c r="C37" s="24" t="s">
        <v>809</v>
      </c>
      <c r="D37" s="68" t="s">
        <v>1066</v>
      </c>
      <c r="E37" s="69">
        <v>1.0185999999999999</v>
      </c>
      <c r="F37" s="31">
        <f t="shared" si="3"/>
        <v>2764152.46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76">
        <v>0</v>
      </c>
      <c r="N37" s="31">
        <v>0</v>
      </c>
      <c r="O37" s="31">
        <v>576</v>
      </c>
      <c r="P37" s="31">
        <v>2625418.7200000002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67">
        <f>ROUND(P37*1.5%,2)</f>
        <v>39381.279999999999</v>
      </c>
      <c r="AF37" s="67">
        <v>99352.46</v>
      </c>
      <c r="AG37" s="31">
        <v>0</v>
      </c>
      <c r="AH37" s="35">
        <v>2020</v>
      </c>
      <c r="AI37" s="35">
        <v>2020</v>
      </c>
      <c r="AJ37" s="35">
        <v>2020</v>
      </c>
    </row>
    <row r="38" spans="1:36" s="20" customFormat="1" ht="61.5" x14ac:dyDescent="0.85">
      <c r="A38" s="20">
        <v>1</v>
      </c>
      <c r="B38" s="66">
        <f>SUBTOTAL(103,$A$13:A38)</f>
        <v>19</v>
      </c>
      <c r="C38" s="24" t="s">
        <v>801</v>
      </c>
      <c r="D38" s="68" t="s">
        <v>1066</v>
      </c>
      <c r="E38" s="69">
        <v>1.0064</v>
      </c>
      <c r="F38" s="31">
        <f t="shared" si="3"/>
        <v>2055692.91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76">
        <v>0</v>
      </c>
      <c r="N38" s="31">
        <v>0</v>
      </c>
      <c r="O38" s="31">
        <v>433</v>
      </c>
      <c r="P38" s="31">
        <v>1949162.56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67">
        <f>ROUND(P38*1.5%,2)</f>
        <v>29237.439999999999</v>
      </c>
      <c r="AF38" s="67">
        <v>77292.91</v>
      </c>
      <c r="AG38" s="31">
        <v>0</v>
      </c>
      <c r="AH38" s="35">
        <v>2020</v>
      </c>
      <c r="AI38" s="35">
        <v>2020</v>
      </c>
      <c r="AJ38" s="35">
        <v>2020</v>
      </c>
    </row>
    <row r="39" spans="1:36" s="20" customFormat="1" ht="61.5" x14ac:dyDescent="0.85">
      <c r="B39" s="70" t="s">
        <v>863</v>
      </c>
      <c r="C39" s="24"/>
      <c r="D39" s="68" t="s">
        <v>915</v>
      </c>
      <c r="E39" s="69">
        <f>AVERAGE(E40)</f>
        <v>1.0041</v>
      </c>
      <c r="F39" s="31">
        <f>F40</f>
        <v>2144299</v>
      </c>
      <c r="G39" s="31">
        <f t="shared" ref="G39:AG39" si="10">G40</f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76">
        <f t="shared" si="10"/>
        <v>0</v>
      </c>
      <c r="N39" s="31">
        <f t="shared" si="10"/>
        <v>0</v>
      </c>
      <c r="O39" s="31">
        <f t="shared" si="10"/>
        <v>448.83</v>
      </c>
      <c r="P39" s="31">
        <f t="shared" si="10"/>
        <v>2033875.86</v>
      </c>
      <c r="Q39" s="31">
        <f t="shared" si="10"/>
        <v>0</v>
      </c>
      <c r="R39" s="31">
        <f t="shared" si="10"/>
        <v>0</v>
      </c>
      <c r="S39" s="31">
        <f t="shared" si="10"/>
        <v>0</v>
      </c>
      <c r="T39" s="31">
        <f t="shared" si="10"/>
        <v>0</v>
      </c>
      <c r="U39" s="31">
        <f t="shared" si="10"/>
        <v>0</v>
      </c>
      <c r="V39" s="31">
        <f t="shared" si="10"/>
        <v>0</v>
      </c>
      <c r="W39" s="31">
        <f t="shared" si="10"/>
        <v>0</v>
      </c>
      <c r="X39" s="31">
        <f t="shared" si="10"/>
        <v>0</v>
      </c>
      <c r="Y39" s="31">
        <f t="shared" si="10"/>
        <v>0</v>
      </c>
      <c r="Z39" s="31">
        <f t="shared" si="10"/>
        <v>0</v>
      </c>
      <c r="AA39" s="31">
        <f t="shared" si="10"/>
        <v>0</v>
      </c>
      <c r="AB39" s="31">
        <f t="shared" si="10"/>
        <v>0</v>
      </c>
      <c r="AC39" s="31">
        <f t="shared" si="10"/>
        <v>0</v>
      </c>
      <c r="AD39" s="31">
        <f t="shared" si="10"/>
        <v>0</v>
      </c>
      <c r="AE39" s="67">
        <f t="shared" si="10"/>
        <v>30508.14</v>
      </c>
      <c r="AF39" s="67">
        <f t="shared" si="10"/>
        <v>79915</v>
      </c>
      <c r="AG39" s="31">
        <f t="shared" si="10"/>
        <v>0</v>
      </c>
      <c r="AH39" s="35" t="s">
        <v>915</v>
      </c>
      <c r="AI39" s="35" t="s">
        <v>915</v>
      </c>
      <c r="AJ39" s="35" t="s">
        <v>915</v>
      </c>
    </row>
    <row r="40" spans="1:36" s="20" customFormat="1" ht="61.5" x14ac:dyDescent="0.85">
      <c r="A40" s="20">
        <v>1</v>
      </c>
      <c r="B40" s="66">
        <f>SUBTOTAL(103,$A$13:A40)</f>
        <v>20</v>
      </c>
      <c r="C40" s="24" t="s">
        <v>1054</v>
      </c>
      <c r="D40" s="68" t="s">
        <v>1065</v>
      </c>
      <c r="E40" s="69">
        <v>1.0041</v>
      </c>
      <c r="F40" s="31">
        <f t="shared" si="3"/>
        <v>2144299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76">
        <v>0</v>
      </c>
      <c r="N40" s="31">
        <v>0</v>
      </c>
      <c r="O40" s="31">
        <v>448.83</v>
      </c>
      <c r="P40" s="31">
        <v>2033875.86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67">
        <f>ROUND(P40*1.5%,2)</f>
        <v>30508.14</v>
      </c>
      <c r="AF40" s="31">
        <v>79915</v>
      </c>
      <c r="AG40" s="31">
        <v>0</v>
      </c>
      <c r="AH40" s="35">
        <v>2020</v>
      </c>
      <c r="AI40" s="35">
        <v>2020</v>
      </c>
      <c r="AJ40" s="35">
        <v>2020</v>
      </c>
    </row>
    <row r="41" spans="1:36" s="20" customFormat="1" ht="61.5" x14ac:dyDescent="0.85">
      <c r="B41" s="70" t="s">
        <v>865</v>
      </c>
      <c r="C41" s="24"/>
      <c r="D41" s="68" t="s">
        <v>915</v>
      </c>
      <c r="E41" s="69">
        <f>AVERAGE(E42)</f>
        <v>1</v>
      </c>
      <c r="F41" s="31">
        <f>F42</f>
        <v>5635847.5700000003</v>
      </c>
      <c r="G41" s="31">
        <f t="shared" ref="G41:AG41" si="11">G42</f>
        <v>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76">
        <f t="shared" si="11"/>
        <v>0</v>
      </c>
      <c r="N41" s="31">
        <f t="shared" si="11"/>
        <v>0</v>
      </c>
      <c r="O41" s="31">
        <f t="shared" si="11"/>
        <v>1034.83</v>
      </c>
      <c r="P41" s="31">
        <f t="shared" si="11"/>
        <v>5456330</v>
      </c>
      <c r="Q41" s="31">
        <f t="shared" si="11"/>
        <v>0</v>
      </c>
      <c r="R41" s="31">
        <f t="shared" si="11"/>
        <v>0</v>
      </c>
      <c r="S41" s="31">
        <f t="shared" si="11"/>
        <v>0</v>
      </c>
      <c r="T41" s="31">
        <f t="shared" si="11"/>
        <v>0</v>
      </c>
      <c r="U41" s="31">
        <f t="shared" si="11"/>
        <v>0</v>
      </c>
      <c r="V41" s="31">
        <f t="shared" si="11"/>
        <v>0</v>
      </c>
      <c r="W41" s="31">
        <f t="shared" si="11"/>
        <v>0</v>
      </c>
      <c r="X41" s="31">
        <f t="shared" si="11"/>
        <v>0</v>
      </c>
      <c r="Y41" s="31">
        <f t="shared" si="11"/>
        <v>0</v>
      </c>
      <c r="Z41" s="31">
        <f t="shared" si="11"/>
        <v>0</v>
      </c>
      <c r="AA41" s="31">
        <f t="shared" si="11"/>
        <v>0</v>
      </c>
      <c r="AB41" s="31">
        <f t="shared" si="11"/>
        <v>0</v>
      </c>
      <c r="AC41" s="31">
        <f t="shared" si="11"/>
        <v>0</v>
      </c>
      <c r="AD41" s="31">
        <f t="shared" si="11"/>
        <v>0</v>
      </c>
      <c r="AE41" s="67">
        <f t="shared" si="11"/>
        <v>81844.95</v>
      </c>
      <c r="AF41" s="67">
        <f t="shared" si="11"/>
        <v>97672.62</v>
      </c>
      <c r="AG41" s="31">
        <f t="shared" si="11"/>
        <v>0</v>
      </c>
      <c r="AH41" s="35" t="s">
        <v>915</v>
      </c>
      <c r="AI41" s="35" t="s">
        <v>915</v>
      </c>
      <c r="AJ41" s="35" t="s">
        <v>915</v>
      </c>
    </row>
    <row r="42" spans="1:36" s="20" customFormat="1" ht="61.5" x14ac:dyDescent="0.85">
      <c r="A42" s="20">
        <v>1</v>
      </c>
      <c r="B42" s="66">
        <f>SUBTOTAL(103,$A$13:A42)</f>
        <v>21</v>
      </c>
      <c r="C42" s="24" t="s">
        <v>1055</v>
      </c>
      <c r="D42" s="68" t="s">
        <v>1067</v>
      </c>
      <c r="E42" s="69">
        <v>1</v>
      </c>
      <c r="F42" s="31">
        <f t="shared" si="3"/>
        <v>5635847.5700000003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76">
        <v>0</v>
      </c>
      <c r="N42" s="31">
        <v>0</v>
      </c>
      <c r="O42" s="31">
        <v>1034.83</v>
      </c>
      <c r="P42" s="31">
        <v>5456330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67">
        <f>ROUND(P42*1.5%,2)</f>
        <v>81844.95</v>
      </c>
      <c r="AF42" s="183">
        <v>97672.62</v>
      </c>
      <c r="AG42" s="31">
        <v>0</v>
      </c>
      <c r="AH42" s="35">
        <v>2020</v>
      </c>
      <c r="AI42" s="35">
        <v>2020</v>
      </c>
      <c r="AJ42" s="35">
        <v>2020</v>
      </c>
    </row>
    <row r="43" spans="1:36" s="20" customFormat="1" ht="61.5" x14ac:dyDescent="0.85">
      <c r="B43" s="70" t="s">
        <v>1074</v>
      </c>
      <c r="C43" s="24"/>
      <c r="D43" s="68" t="s">
        <v>915</v>
      </c>
      <c r="E43" s="69">
        <f>AVERAGE(E44:E46)</f>
        <v>1.0093333333333334</v>
      </c>
      <c r="F43" s="31">
        <f t="shared" ref="F43:AG43" si="12">SUM(F44:F46)</f>
        <v>7696939.6800000006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76">
        <f t="shared" si="12"/>
        <v>0</v>
      </c>
      <c r="N43" s="31">
        <f t="shared" si="12"/>
        <v>0</v>
      </c>
      <c r="O43" s="31">
        <f t="shared" si="12"/>
        <v>1438.7</v>
      </c>
      <c r="P43" s="31">
        <f t="shared" si="12"/>
        <v>7406508.8399999999</v>
      </c>
      <c r="Q43" s="31">
        <f t="shared" si="12"/>
        <v>0</v>
      </c>
      <c r="R43" s="31">
        <f t="shared" si="12"/>
        <v>0</v>
      </c>
      <c r="S43" s="31">
        <f t="shared" si="12"/>
        <v>0</v>
      </c>
      <c r="T43" s="31">
        <f t="shared" si="12"/>
        <v>0</v>
      </c>
      <c r="U43" s="31">
        <f t="shared" si="12"/>
        <v>0</v>
      </c>
      <c r="V43" s="31">
        <f t="shared" si="12"/>
        <v>0</v>
      </c>
      <c r="W43" s="31">
        <f t="shared" si="12"/>
        <v>0</v>
      </c>
      <c r="X43" s="31">
        <f t="shared" si="12"/>
        <v>0</v>
      </c>
      <c r="Y43" s="31">
        <f t="shared" si="12"/>
        <v>0</v>
      </c>
      <c r="Z43" s="31">
        <f t="shared" si="12"/>
        <v>0</v>
      </c>
      <c r="AA43" s="31">
        <f t="shared" si="12"/>
        <v>0</v>
      </c>
      <c r="AB43" s="31">
        <f t="shared" si="12"/>
        <v>0</v>
      </c>
      <c r="AC43" s="31">
        <f t="shared" si="12"/>
        <v>0</v>
      </c>
      <c r="AD43" s="31">
        <f t="shared" si="12"/>
        <v>0</v>
      </c>
      <c r="AE43" s="67">
        <f t="shared" si="12"/>
        <v>85459.43</v>
      </c>
      <c r="AF43" s="67">
        <f t="shared" si="12"/>
        <v>204971.41</v>
      </c>
      <c r="AG43" s="31">
        <f t="shared" si="12"/>
        <v>0</v>
      </c>
      <c r="AH43" s="35" t="s">
        <v>915</v>
      </c>
      <c r="AI43" s="35" t="s">
        <v>915</v>
      </c>
      <c r="AJ43" s="35" t="s">
        <v>915</v>
      </c>
    </row>
    <row r="44" spans="1:36" s="20" customFormat="1" ht="61.5" x14ac:dyDescent="0.85">
      <c r="A44" s="20">
        <v>1</v>
      </c>
      <c r="B44" s="66">
        <f>SUBTOTAL(103,$A$13:A44)</f>
        <v>22</v>
      </c>
      <c r="C44" s="24" t="s">
        <v>1056</v>
      </c>
      <c r="D44" s="68" t="s">
        <v>1069</v>
      </c>
      <c r="E44" s="69">
        <v>1.0093000000000001</v>
      </c>
      <c r="F44" s="31">
        <f t="shared" si="3"/>
        <v>2441426.8199999998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76">
        <v>0</v>
      </c>
      <c r="N44" s="31">
        <v>0</v>
      </c>
      <c r="O44" s="31">
        <v>441.7</v>
      </c>
      <c r="P44" s="31">
        <v>2338270.38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67">
        <f>ROUND(P44*1.5%,2)</f>
        <v>35074.06</v>
      </c>
      <c r="AF44" s="67">
        <v>68082.38</v>
      </c>
      <c r="AG44" s="31">
        <v>0</v>
      </c>
      <c r="AH44" s="35">
        <v>2020</v>
      </c>
      <c r="AI44" s="35">
        <v>2020</v>
      </c>
      <c r="AJ44" s="35">
        <v>2020</v>
      </c>
    </row>
    <row r="45" spans="1:36" s="20" customFormat="1" ht="61.5" x14ac:dyDescent="0.85">
      <c r="A45" s="20">
        <v>1</v>
      </c>
      <c r="B45" s="66">
        <f>SUBTOTAL(103,$A$13:A45)</f>
        <v>23</v>
      </c>
      <c r="C45" s="24" t="s">
        <v>1057</v>
      </c>
      <c r="D45" s="68" t="s">
        <v>1065</v>
      </c>
      <c r="E45" s="69">
        <v>1.0031000000000001</v>
      </c>
      <c r="F45" s="31">
        <f t="shared" si="3"/>
        <v>2516497.92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76">
        <v>0</v>
      </c>
      <c r="N45" s="31">
        <v>0</v>
      </c>
      <c r="O45" s="31">
        <v>502</v>
      </c>
      <c r="P45" s="31">
        <v>2407983.3199999998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67">
        <f>ROUND(P45*1.5%,2)</f>
        <v>36119.75</v>
      </c>
      <c r="AF45" s="67">
        <v>72394.850000000006</v>
      </c>
      <c r="AG45" s="31">
        <v>0</v>
      </c>
      <c r="AH45" s="35">
        <v>2020</v>
      </c>
      <c r="AI45" s="35">
        <v>2020</v>
      </c>
      <c r="AJ45" s="35">
        <v>2020</v>
      </c>
    </row>
    <row r="46" spans="1:36" s="20" customFormat="1" ht="61.5" x14ac:dyDescent="0.85">
      <c r="A46" s="20">
        <v>1</v>
      </c>
      <c r="B46" s="66">
        <f>SUBTOTAL(103,$A$13:A46)</f>
        <v>24</v>
      </c>
      <c r="C46" s="24" t="s">
        <v>1058</v>
      </c>
      <c r="D46" s="68" t="s">
        <v>1068</v>
      </c>
      <c r="E46" s="69">
        <v>1.0156000000000001</v>
      </c>
      <c r="F46" s="31">
        <f t="shared" si="3"/>
        <v>2739014.9400000004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76">
        <v>0</v>
      </c>
      <c r="N46" s="31">
        <v>0</v>
      </c>
      <c r="O46" s="31">
        <v>495</v>
      </c>
      <c r="P46" s="31">
        <v>2660255.14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f>7980.77+6284.85</f>
        <v>14265.62</v>
      </c>
      <c r="AF46" s="67">
        <v>64494.18</v>
      </c>
      <c r="AG46" s="31">
        <v>0</v>
      </c>
      <c r="AH46" s="35">
        <v>2020</v>
      </c>
      <c r="AI46" s="35">
        <v>2020</v>
      </c>
      <c r="AJ46" s="35">
        <v>2020</v>
      </c>
    </row>
    <row r="47" spans="1:36" s="20" customFormat="1" ht="61.5" x14ac:dyDescent="0.85">
      <c r="B47" s="70" t="s">
        <v>1075</v>
      </c>
      <c r="C47" s="24"/>
      <c r="D47" s="68" t="s">
        <v>915</v>
      </c>
      <c r="E47" s="69">
        <f>AVERAGE(E48)</f>
        <v>1</v>
      </c>
      <c r="F47" s="31">
        <f>F48</f>
        <v>3809937.89</v>
      </c>
      <c r="G47" s="31">
        <f t="shared" ref="G47:AG47" si="13">G48</f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76">
        <f t="shared" si="13"/>
        <v>0</v>
      </c>
      <c r="N47" s="31">
        <f t="shared" si="13"/>
        <v>0</v>
      </c>
      <c r="O47" s="31">
        <f t="shared" si="13"/>
        <v>766.92</v>
      </c>
      <c r="P47" s="31">
        <f t="shared" si="13"/>
        <v>3659704.43</v>
      </c>
      <c r="Q47" s="31">
        <f t="shared" si="13"/>
        <v>0</v>
      </c>
      <c r="R47" s="31">
        <f t="shared" si="13"/>
        <v>0</v>
      </c>
      <c r="S47" s="31">
        <f t="shared" si="13"/>
        <v>0</v>
      </c>
      <c r="T47" s="31">
        <f t="shared" si="13"/>
        <v>0</v>
      </c>
      <c r="U47" s="31">
        <f t="shared" si="13"/>
        <v>0</v>
      </c>
      <c r="V47" s="31">
        <f t="shared" si="13"/>
        <v>0</v>
      </c>
      <c r="W47" s="31">
        <f t="shared" si="13"/>
        <v>0</v>
      </c>
      <c r="X47" s="31">
        <f t="shared" si="13"/>
        <v>0</v>
      </c>
      <c r="Y47" s="31">
        <f t="shared" si="13"/>
        <v>0</v>
      </c>
      <c r="Z47" s="31">
        <f t="shared" si="13"/>
        <v>0</v>
      </c>
      <c r="AA47" s="31">
        <f t="shared" si="13"/>
        <v>0</v>
      </c>
      <c r="AB47" s="31">
        <f t="shared" si="13"/>
        <v>0</v>
      </c>
      <c r="AC47" s="31">
        <f t="shared" si="13"/>
        <v>0</v>
      </c>
      <c r="AD47" s="31">
        <f t="shared" si="13"/>
        <v>0</v>
      </c>
      <c r="AE47" s="67">
        <f t="shared" si="13"/>
        <v>54895.57</v>
      </c>
      <c r="AF47" s="67">
        <f t="shared" si="13"/>
        <v>95337.89</v>
      </c>
      <c r="AG47" s="31">
        <f t="shared" si="13"/>
        <v>0</v>
      </c>
      <c r="AH47" s="35" t="s">
        <v>915</v>
      </c>
      <c r="AI47" s="35" t="s">
        <v>915</v>
      </c>
      <c r="AJ47" s="35" t="s">
        <v>915</v>
      </c>
    </row>
    <row r="48" spans="1:36" s="20" customFormat="1" ht="61.5" x14ac:dyDescent="0.85">
      <c r="A48" s="20">
        <v>1</v>
      </c>
      <c r="B48" s="66">
        <f>SUBTOTAL(103,$A$13:A48)</f>
        <v>25</v>
      </c>
      <c r="C48" s="24" t="s">
        <v>1063</v>
      </c>
      <c r="D48" s="68" t="s">
        <v>1064</v>
      </c>
      <c r="E48" s="69">
        <v>1</v>
      </c>
      <c r="F48" s="31">
        <f t="shared" si="3"/>
        <v>3809937.89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76">
        <v>0</v>
      </c>
      <c r="N48" s="31">
        <v>0</v>
      </c>
      <c r="O48" s="31">
        <v>766.92</v>
      </c>
      <c r="P48" s="31">
        <v>3659704.43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67">
        <f>ROUND(P48*1.5%,2)</f>
        <v>54895.57</v>
      </c>
      <c r="AF48" s="183">
        <v>95337.89</v>
      </c>
      <c r="AG48" s="31">
        <v>0</v>
      </c>
      <c r="AH48" s="35">
        <v>2020</v>
      </c>
      <c r="AI48" s="35">
        <v>2020</v>
      </c>
      <c r="AJ48" s="35">
        <v>2020</v>
      </c>
    </row>
    <row r="49" spans="1:36" s="20" customFormat="1" ht="61.5" x14ac:dyDescent="0.85">
      <c r="B49" s="70" t="s">
        <v>876</v>
      </c>
      <c r="C49" s="24"/>
      <c r="D49" s="68" t="s">
        <v>915</v>
      </c>
      <c r="E49" s="69">
        <f>AVERAGE(E50)</f>
        <v>1.008</v>
      </c>
      <c r="F49" s="31">
        <f>F50</f>
        <v>1692000</v>
      </c>
      <c r="G49" s="31">
        <f t="shared" ref="G49:AG49" si="14">G50</f>
        <v>0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76">
        <f t="shared" si="14"/>
        <v>0</v>
      </c>
      <c r="N49" s="31">
        <f t="shared" si="14"/>
        <v>0</v>
      </c>
      <c r="O49" s="31">
        <f t="shared" si="14"/>
        <v>352.5</v>
      </c>
      <c r="P49" s="31">
        <f t="shared" si="14"/>
        <v>1578325.12</v>
      </c>
      <c r="Q49" s="31">
        <f t="shared" si="14"/>
        <v>0</v>
      </c>
      <c r="R49" s="31">
        <f t="shared" si="14"/>
        <v>0</v>
      </c>
      <c r="S49" s="31">
        <f t="shared" si="14"/>
        <v>0</v>
      </c>
      <c r="T49" s="31">
        <f t="shared" si="14"/>
        <v>0</v>
      </c>
      <c r="U49" s="31">
        <f t="shared" si="14"/>
        <v>0</v>
      </c>
      <c r="V49" s="31">
        <f t="shared" si="14"/>
        <v>0</v>
      </c>
      <c r="W49" s="31">
        <f t="shared" si="14"/>
        <v>0</v>
      </c>
      <c r="X49" s="31">
        <f t="shared" si="14"/>
        <v>0</v>
      </c>
      <c r="Y49" s="31">
        <f t="shared" si="14"/>
        <v>0</v>
      </c>
      <c r="Z49" s="31">
        <f t="shared" si="14"/>
        <v>0</v>
      </c>
      <c r="AA49" s="31">
        <f t="shared" si="14"/>
        <v>0</v>
      </c>
      <c r="AB49" s="31">
        <f t="shared" si="14"/>
        <v>0</v>
      </c>
      <c r="AC49" s="31">
        <f t="shared" si="14"/>
        <v>0</v>
      </c>
      <c r="AD49" s="31">
        <f t="shared" si="14"/>
        <v>0</v>
      </c>
      <c r="AE49" s="67">
        <f t="shared" si="14"/>
        <v>23674.880000000001</v>
      </c>
      <c r="AF49" s="67">
        <f t="shared" si="14"/>
        <v>90000</v>
      </c>
      <c r="AG49" s="31">
        <f t="shared" si="14"/>
        <v>0</v>
      </c>
      <c r="AH49" s="35" t="s">
        <v>915</v>
      </c>
      <c r="AI49" s="35" t="s">
        <v>915</v>
      </c>
      <c r="AJ49" s="35" t="s">
        <v>915</v>
      </c>
    </row>
    <row r="50" spans="1:36" s="20" customFormat="1" ht="61.5" x14ac:dyDescent="0.85">
      <c r="A50" s="20">
        <v>1</v>
      </c>
      <c r="B50" s="66">
        <f>SUBTOTAL(103,$A$13:A50)</f>
        <v>26</v>
      </c>
      <c r="C50" s="24" t="s">
        <v>1059</v>
      </c>
      <c r="D50" s="68" t="s">
        <v>1065</v>
      </c>
      <c r="E50" s="69">
        <v>1.008</v>
      </c>
      <c r="F50" s="31">
        <f t="shared" si="3"/>
        <v>1692000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76">
        <v>0</v>
      </c>
      <c r="N50" s="31">
        <v>0</v>
      </c>
      <c r="O50" s="31">
        <v>352.5</v>
      </c>
      <c r="P50" s="31">
        <v>1578325.12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67">
        <f>ROUND(P50*1.5%,2)</f>
        <v>23674.880000000001</v>
      </c>
      <c r="AF50" s="67">
        <v>90000</v>
      </c>
      <c r="AG50" s="31">
        <v>0</v>
      </c>
      <c r="AH50" s="35">
        <v>2020</v>
      </c>
      <c r="AI50" s="35">
        <v>2020</v>
      </c>
      <c r="AJ50" s="35">
        <v>2020</v>
      </c>
    </row>
    <row r="51" spans="1:36" s="20" customFormat="1" ht="61.5" x14ac:dyDescent="0.85">
      <c r="B51" s="70" t="s">
        <v>882</v>
      </c>
      <c r="C51" s="24"/>
      <c r="D51" s="68" t="s">
        <v>915</v>
      </c>
      <c r="E51" s="69">
        <f>AVERAGE(E52)</f>
        <v>1.0001</v>
      </c>
      <c r="F51" s="31">
        <f>F52</f>
        <v>3214510.5</v>
      </c>
      <c r="G51" s="31">
        <f t="shared" ref="G51:AG51" si="15">G52</f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76">
        <f t="shared" si="15"/>
        <v>0</v>
      </c>
      <c r="N51" s="31">
        <f t="shared" si="15"/>
        <v>0</v>
      </c>
      <c r="O51" s="31">
        <f t="shared" si="15"/>
        <v>874</v>
      </c>
      <c r="P51" s="31">
        <f t="shared" si="15"/>
        <v>3070274</v>
      </c>
      <c r="Q51" s="31">
        <f t="shared" si="15"/>
        <v>0</v>
      </c>
      <c r="R51" s="31">
        <f t="shared" si="15"/>
        <v>0</v>
      </c>
      <c r="S51" s="31">
        <f t="shared" si="15"/>
        <v>0</v>
      </c>
      <c r="T51" s="31">
        <f t="shared" si="15"/>
        <v>0</v>
      </c>
      <c r="U51" s="31">
        <f t="shared" si="15"/>
        <v>0</v>
      </c>
      <c r="V51" s="31">
        <f t="shared" si="15"/>
        <v>0</v>
      </c>
      <c r="W51" s="31">
        <f t="shared" si="15"/>
        <v>0</v>
      </c>
      <c r="X51" s="31">
        <f t="shared" si="15"/>
        <v>0</v>
      </c>
      <c r="Y51" s="31">
        <f t="shared" si="15"/>
        <v>0</v>
      </c>
      <c r="Z51" s="31">
        <f t="shared" si="15"/>
        <v>0</v>
      </c>
      <c r="AA51" s="31">
        <f t="shared" si="15"/>
        <v>0</v>
      </c>
      <c r="AB51" s="31">
        <f t="shared" si="15"/>
        <v>0</v>
      </c>
      <c r="AC51" s="31">
        <f t="shared" si="15"/>
        <v>0</v>
      </c>
      <c r="AD51" s="31">
        <f t="shared" si="15"/>
        <v>0</v>
      </c>
      <c r="AE51" s="67">
        <f t="shared" si="15"/>
        <v>46054.11</v>
      </c>
      <c r="AF51" s="67">
        <f t="shared" si="15"/>
        <v>98182.39</v>
      </c>
      <c r="AG51" s="31">
        <f t="shared" si="15"/>
        <v>0</v>
      </c>
      <c r="AH51" s="35" t="s">
        <v>915</v>
      </c>
      <c r="AI51" s="35" t="s">
        <v>915</v>
      </c>
      <c r="AJ51" s="35" t="s">
        <v>915</v>
      </c>
    </row>
    <row r="52" spans="1:36" s="20" customFormat="1" ht="61.5" x14ac:dyDescent="0.85">
      <c r="A52" s="20">
        <v>1</v>
      </c>
      <c r="B52" s="66">
        <f>SUBTOTAL(103,$A$13:A52)</f>
        <v>27</v>
      </c>
      <c r="C52" s="24" t="s">
        <v>1062</v>
      </c>
      <c r="D52" s="68" t="s">
        <v>1067</v>
      </c>
      <c r="E52" s="69">
        <v>1.0001</v>
      </c>
      <c r="F52" s="31">
        <f t="shared" si="3"/>
        <v>3214510.5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76">
        <v>0</v>
      </c>
      <c r="N52" s="31">
        <v>0</v>
      </c>
      <c r="O52" s="31">
        <v>874</v>
      </c>
      <c r="P52" s="31">
        <v>3070274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67">
        <f>ROUND(P52*1.5%,2)</f>
        <v>46054.11</v>
      </c>
      <c r="AF52" s="67">
        <v>98182.39</v>
      </c>
      <c r="AG52" s="31">
        <v>0</v>
      </c>
      <c r="AH52" s="35">
        <v>2020</v>
      </c>
      <c r="AI52" s="35">
        <v>2020</v>
      </c>
      <c r="AJ52" s="35">
        <v>2020</v>
      </c>
    </row>
    <row r="53" spans="1:36" s="20" customFormat="1" ht="61.5" x14ac:dyDescent="0.85">
      <c r="B53" s="70" t="s">
        <v>884</v>
      </c>
      <c r="C53" s="24"/>
      <c r="D53" s="68" t="s">
        <v>915</v>
      </c>
      <c r="E53" s="69">
        <f>AVERAGE(E54:E55)</f>
        <v>1.0058</v>
      </c>
      <c r="F53" s="31">
        <f>F55+F54+F56</f>
        <v>6200280.5599999996</v>
      </c>
      <c r="G53" s="31">
        <f t="shared" ref="G53:AG53" si="16">G55+G54+G56</f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76">
        <f t="shared" si="16"/>
        <v>0</v>
      </c>
      <c r="N53" s="31">
        <f t="shared" si="16"/>
        <v>0</v>
      </c>
      <c r="O53" s="31">
        <f t="shared" si="16"/>
        <v>930.9</v>
      </c>
      <c r="P53" s="31">
        <f t="shared" si="16"/>
        <v>3778686.35</v>
      </c>
      <c r="Q53" s="31">
        <f t="shared" si="16"/>
        <v>0</v>
      </c>
      <c r="R53" s="31">
        <f t="shared" si="16"/>
        <v>0</v>
      </c>
      <c r="S53" s="31">
        <f t="shared" si="16"/>
        <v>435</v>
      </c>
      <c r="T53" s="31">
        <f t="shared" si="16"/>
        <v>2246773.7400000002</v>
      </c>
      <c r="U53" s="31">
        <f t="shared" si="16"/>
        <v>0</v>
      </c>
      <c r="V53" s="31">
        <f t="shared" si="16"/>
        <v>0</v>
      </c>
      <c r="W53" s="31">
        <f t="shared" si="16"/>
        <v>0</v>
      </c>
      <c r="X53" s="31">
        <f t="shared" si="16"/>
        <v>0</v>
      </c>
      <c r="Y53" s="31">
        <f t="shared" si="16"/>
        <v>0</v>
      </c>
      <c r="Z53" s="31">
        <f t="shared" si="16"/>
        <v>0</v>
      </c>
      <c r="AA53" s="31">
        <f t="shared" si="16"/>
        <v>0</v>
      </c>
      <c r="AB53" s="31">
        <f t="shared" si="16"/>
        <v>0</v>
      </c>
      <c r="AC53" s="31">
        <f t="shared" si="16"/>
        <v>0</v>
      </c>
      <c r="AD53" s="31">
        <f t="shared" si="16"/>
        <v>0</v>
      </c>
      <c r="AE53" s="31">
        <f t="shared" si="16"/>
        <v>90381.9</v>
      </c>
      <c r="AF53" s="31">
        <f t="shared" si="16"/>
        <v>84438.57</v>
      </c>
      <c r="AG53" s="31">
        <f t="shared" si="16"/>
        <v>0</v>
      </c>
      <c r="AH53" s="35" t="s">
        <v>915</v>
      </c>
      <c r="AI53" s="35" t="s">
        <v>915</v>
      </c>
      <c r="AJ53" s="35" t="s">
        <v>915</v>
      </c>
    </row>
    <row r="54" spans="1:36" s="20" customFormat="1" ht="61.5" x14ac:dyDescent="0.85">
      <c r="A54" s="20">
        <v>1</v>
      </c>
      <c r="B54" s="66">
        <f>SUBTOTAL(103,$A$13:A54)</f>
        <v>28</v>
      </c>
      <c r="C54" s="24" t="s">
        <v>1107</v>
      </c>
      <c r="D54" s="68" t="s">
        <v>1064</v>
      </c>
      <c r="E54" s="69">
        <v>1</v>
      </c>
      <c r="F54" s="31">
        <f>G54+H54+I54+J54+K54+L54+N54+P54+R54+T54+V54+W54+X54+Y54+Z54+AA54+AB54+AC54+AD54+AE54+AF54+AG54</f>
        <v>2125397.4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76">
        <v>0</v>
      </c>
      <c r="N54" s="31">
        <v>0</v>
      </c>
      <c r="O54" s="31">
        <v>620.9</v>
      </c>
      <c r="P54" s="31">
        <v>2093987.59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67">
        <f>ROUND(P54*1.5%,2)</f>
        <v>31409.81</v>
      </c>
      <c r="AF54" s="67">
        <v>0</v>
      </c>
      <c r="AG54" s="31">
        <v>0</v>
      </c>
      <c r="AH54" s="35" t="s">
        <v>274</v>
      </c>
      <c r="AI54" s="35">
        <v>2020</v>
      </c>
      <c r="AJ54" s="35">
        <v>2020</v>
      </c>
    </row>
    <row r="55" spans="1:36" s="20" customFormat="1" ht="61.5" x14ac:dyDescent="0.85">
      <c r="A55" s="20">
        <v>1</v>
      </c>
      <c r="B55" s="66">
        <f>SUBTOTAL(103,$A$13:A55)</f>
        <v>29</v>
      </c>
      <c r="C55" s="24" t="s">
        <v>1060</v>
      </c>
      <c r="D55" s="68" t="s">
        <v>1070</v>
      </c>
      <c r="E55" s="69">
        <v>1.0116000000000001</v>
      </c>
      <c r="F55" s="31">
        <f t="shared" si="3"/>
        <v>2324222.61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76">
        <v>0</v>
      </c>
      <c r="N55" s="31">
        <v>0</v>
      </c>
      <c r="O55" s="31">
        <v>0</v>
      </c>
      <c r="P55" s="31">
        <f>O55*4800</f>
        <v>0</v>
      </c>
      <c r="Q55" s="31">
        <v>0</v>
      </c>
      <c r="R55" s="31">
        <v>0</v>
      </c>
      <c r="S55" s="31">
        <v>435</v>
      </c>
      <c r="T55" s="31">
        <v>2246773.7400000002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67">
        <f>ROUND(T55*1.5%,2)</f>
        <v>33701.61</v>
      </c>
      <c r="AF55" s="67">
        <v>43747.26</v>
      </c>
      <c r="AG55" s="31">
        <v>0</v>
      </c>
      <c r="AH55" s="35">
        <v>2020</v>
      </c>
      <c r="AI55" s="35">
        <v>2020</v>
      </c>
      <c r="AJ55" s="35">
        <v>2020</v>
      </c>
    </row>
    <row r="56" spans="1:36" s="20" customFormat="1" ht="61.5" x14ac:dyDescent="0.85">
      <c r="A56" s="20">
        <v>1</v>
      </c>
      <c r="B56" s="66">
        <f>SUBTOTAL(103,$A$13:A56)</f>
        <v>30</v>
      </c>
      <c r="C56" s="24" t="s">
        <v>196</v>
      </c>
      <c r="D56" s="68" t="s">
        <v>1066</v>
      </c>
      <c r="E56" s="69">
        <v>1</v>
      </c>
      <c r="F56" s="31">
        <f t="shared" si="3"/>
        <v>1750660.55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76">
        <v>0</v>
      </c>
      <c r="N56" s="31">
        <v>0</v>
      </c>
      <c r="O56" s="31">
        <v>310</v>
      </c>
      <c r="P56" s="31">
        <v>1684698.76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67">
        <f>ROUND(P56*1.5%,2)</f>
        <v>25270.48</v>
      </c>
      <c r="AF56" s="67">
        <v>40691.31</v>
      </c>
      <c r="AG56" s="31">
        <v>0</v>
      </c>
      <c r="AH56" s="35">
        <v>2020</v>
      </c>
      <c r="AI56" s="35">
        <v>2020</v>
      </c>
      <c r="AJ56" s="35">
        <v>2020</v>
      </c>
    </row>
    <row r="57" spans="1:36" s="20" customFormat="1" ht="61.5" x14ac:dyDescent="0.85">
      <c r="B57" s="70" t="s">
        <v>883</v>
      </c>
      <c r="C57" s="24"/>
      <c r="D57" s="68" t="s">
        <v>915</v>
      </c>
      <c r="E57" s="69">
        <f>AVERAGE(E58)</f>
        <v>1</v>
      </c>
      <c r="F57" s="31">
        <f>F58</f>
        <v>2164797.61</v>
      </c>
      <c r="G57" s="31">
        <f t="shared" ref="G57:AG57" si="17">G58</f>
        <v>0</v>
      </c>
      <c r="H57" s="31">
        <f t="shared" si="17"/>
        <v>0</v>
      </c>
      <c r="I57" s="31">
        <f t="shared" si="17"/>
        <v>0</v>
      </c>
      <c r="J57" s="31">
        <f t="shared" si="17"/>
        <v>0</v>
      </c>
      <c r="K57" s="31">
        <f t="shared" si="17"/>
        <v>0</v>
      </c>
      <c r="L57" s="31">
        <f t="shared" si="17"/>
        <v>0</v>
      </c>
      <c r="M57" s="76">
        <f t="shared" si="17"/>
        <v>0</v>
      </c>
      <c r="N57" s="31">
        <f t="shared" si="17"/>
        <v>0</v>
      </c>
      <c r="O57" s="31">
        <f t="shared" si="17"/>
        <v>575.20000000000005</v>
      </c>
      <c r="P57" s="31">
        <f t="shared" si="17"/>
        <v>2062746.98</v>
      </c>
      <c r="Q57" s="31">
        <f t="shared" si="17"/>
        <v>0</v>
      </c>
      <c r="R57" s="31">
        <f t="shared" si="17"/>
        <v>0</v>
      </c>
      <c r="S57" s="31">
        <f t="shared" si="17"/>
        <v>0</v>
      </c>
      <c r="T57" s="31">
        <f t="shared" si="17"/>
        <v>0</v>
      </c>
      <c r="U57" s="31">
        <f t="shared" si="17"/>
        <v>0</v>
      </c>
      <c r="V57" s="31">
        <f t="shared" si="17"/>
        <v>0</v>
      </c>
      <c r="W57" s="31">
        <f t="shared" si="17"/>
        <v>0</v>
      </c>
      <c r="X57" s="31">
        <f t="shared" si="17"/>
        <v>0</v>
      </c>
      <c r="Y57" s="31">
        <f t="shared" si="17"/>
        <v>0</v>
      </c>
      <c r="Z57" s="31">
        <f t="shared" si="17"/>
        <v>0</v>
      </c>
      <c r="AA57" s="31">
        <f t="shared" si="17"/>
        <v>0</v>
      </c>
      <c r="AB57" s="31">
        <f t="shared" si="17"/>
        <v>0</v>
      </c>
      <c r="AC57" s="31">
        <f t="shared" si="17"/>
        <v>0</v>
      </c>
      <c r="AD57" s="31">
        <f t="shared" si="17"/>
        <v>0</v>
      </c>
      <c r="AE57" s="67">
        <f t="shared" si="17"/>
        <v>30941.200000000001</v>
      </c>
      <c r="AF57" s="67">
        <f t="shared" si="17"/>
        <v>71109.429999999993</v>
      </c>
      <c r="AG57" s="31">
        <f t="shared" si="17"/>
        <v>0</v>
      </c>
      <c r="AH57" s="35" t="s">
        <v>915</v>
      </c>
      <c r="AI57" s="35" t="s">
        <v>915</v>
      </c>
      <c r="AJ57" s="35" t="s">
        <v>915</v>
      </c>
    </row>
    <row r="58" spans="1:36" s="20" customFormat="1" ht="61.5" x14ac:dyDescent="0.85">
      <c r="A58" s="20">
        <v>1</v>
      </c>
      <c r="B58" s="66">
        <f>SUBTOTAL(103,$A$13:A58)</f>
        <v>31</v>
      </c>
      <c r="C58" s="24" t="s">
        <v>1097</v>
      </c>
      <c r="D58" s="68" t="s">
        <v>1069</v>
      </c>
      <c r="E58" s="69">
        <v>1</v>
      </c>
      <c r="F58" s="31">
        <f t="shared" si="3"/>
        <v>2164797.61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76">
        <v>0</v>
      </c>
      <c r="N58" s="31">
        <v>0</v>
      </c>
      <c r="O58" s="31">
        <v>575.20000000000005</v>
      </c>
      <c r="P58" s="31">
        <v>2062746.98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67">
        <f>ROUND(P58*1.5%,2)</f>
        <v>30941.200000000001</v>
      </c>
      <c r="AF58" s="67">
        <v>71109.429999999993</v>
      </c>
      <c r="AG58" s="31">
        <v>0</v>
      </c>
      <c r="AH58" s="35">
        <v>2020</v>
      </c>
      <c r="AI58" s="35">
        <v>2020</v>
      </c>
      <c r="AJ58" s="35">
        <v>2020</v>
      </c>
    </row>
    <row r="59" spans="1:36" s="20" customFormat="1" ht="61.5" x14ac:dyDescent="0.85">
      <c r="B59" s="70" t="s">
        <v>859</v>
      </c>
      <c r="C59" s="24"/>
      <c r="D59" s="68" t="s">
        <v>915</v>
      </c>
      <c r="E59" s="69">
        <f>E60</f>
        <v>1.009761876417796</v>
      </c>
      <c r="F59" s="31">
        <f>F60</f>
        <v>3748625</v>
      </c>
      <c r="G59" s="31">
        <f t="shared" ref="G59:AG59" si="18">G60</f>
        <v>0</v>
      </c>
      <c r="H59" s="31">
        <f t="shared" si="18"/>
        <v>0</v>
      </c>
      <c r="I59" s="31">
        <f t="shared" si="18"/>
        <v>0</v>
      </c>
      <c r="J59" s="31">
        <f t="shared" si="18"/>
        <v>0</v>
      </c>
      <c r="K59" s="31">
        <f t="shared" si="18"/>
        <v>0</v>
      </c>
      <c r="L59" s="31">
        <f t="shared" si="18"/>
        <v>0</v>
      </c>
      <c r="M59" s="76">
        <f t="shared" si="18"/>
        <v>0</v>
      </c>
      <c r="N59" s="31">
        <f t="shared" si="18"/>
        <v>0</v>
      </c>
      <c r="O59" s="31">
        <f t="shared" si="18"/>
        <v>715</v>
      </c>
      <c r="P59" s="31">
        <f t="shared" si="18"/>
        <v>3575000</v>
      </c>
      <c r="Q59" s="31">
        <f t="shared" si="18"/>
        <v>0</v>
      </c>
      <c r="R59" s="31">
        <f t="shared" si="18"/>
        <v>0</v>
      </c>
      <c r="S59" s="31">
        <f t="shared" si="18"/>
        <v>0</v>
      </c>
      <c r="T59" s="31">
        <f t="shared" si="18"/>
        <v>0</v>
      </c>
      <c r="U59" s="31">
        <f t="shared" si="18"/>
        <v>0</v>
      </c>
      <c r="V59" s="31">
        <f t="shared" si="18"/>
        <v>0</v>
      </c>
      <c r="W59" s="31">
        <f t="shared" si="18"/>
        <v>0</v>
      </c>
      <c r="X59" s="31">
        <f t="shared" si="18"/>
        <v>0</v>
      </c>
      <c r="Y59" s="31">
        <f t="shared" si="18"/>
        <v>0</v>
      </c>
      <c r="Z59" s="31">
        <f t="shared" si="18"/>
        <v>0</v>
      </c>
      <c r="AA59" s="31">
        <f t="shared" si="18"/>
        <v>0</v>
      </c>
      <c r="AB59" s="31">
        <f t="shared" si="18"/>
        <v>0</v>
      </c>
      <c r="AC59" s="31">
        <f t="shared" si="18"/>
        <v>0</v>
      </c>
      <c r="AD59" s="31">
        <f t="shared" si="18"/>
        <v>0</v>
      </c>
      <c r="AE59" s="31">
        <f t="shared" si="18"/>
        <v>53625</v>
      </c>
      <c r="AF59" s="31">
        <f t="shared" si="18"/>
        <v>120000</v>
      </c>
      <c r="AG59" s="31">
        <f t="shared" si="18"/>
        <v>0</v>
      </c>
      <c r="AH59" s="35" t="s">
        <v>915</v>
      </c>
      <c r="AI59" s="35" t="s">
        <v>915</v>
      </c>
      <c r="AJ59" s="35" t="s">
        <v>915</v>
      </c>
    </row>
    <row r="60" spans="1:36" s="20" customFormat="1" ht="61.5" x14ac:dyDescent="0.85">
      <c r="A60" s="20">
        <v>1</v>
      </c>
      <c r="B60" s="66">
        <f>SUBTOTAL(103,$A$13:A60)</f>
        <v>32</v>
      </c>
      <c r="C60" s="24" t="s">
        <v>1431</v>
      </c>
      <c r="D60" s="68" t="s">
        <v>1069</v>
      </c>
      <c r="E60" s="69">
        <v>1.009761876417796</v>
      </c>
      <c r="F60" s="31">
        <f t="shared" si="3"/>
        <v>3748625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76">
        <v>0</v>
      </c>
      <c r="N60" s="31">
        <v>0</v>
      </c>
      <c r="O60" s="31">
        <v>715</v>
      </c>
      <c r="P60" s="31">
        <v>3575000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f>ROUND(P60*1.5%,2)</f>
        <v>53625</v>
      </c>
      <c r="AF60" s="67">
        <v>120000</v>
      </c>
      <c r="AG60" s="31">
        <v>0</v>
      </c>
      <c r="AH60" s="35">
        <v>2020</v>
      </c>
      <c r="AI60" s="35">
        <v>2021</v>
      </c>
      <c r="AJ60" s="35">
        <v>2021</v>
      </c>
    </row>
    <row r="61" spans="1:36" s="20" customFormat="1" ht="61.5" x14ac:dyDescent="0.85">
      <c r="B61" s="70" t="s">
        <v>895</v>
      </c>
      <c r="C61" s="24"/>
      <c r="D61" s="68" t="s">
        <v>915</v>
      </c>
      <c r="E61" s="69">
        <f>E62</f>
        <v>1.0869557735329547</v>
      </c>
      <c r="F61" s="31">
        <f>F62</f>
        <v>1359068.46</v>
      </c>
      <c r="G61" s="31">
        <f t="shared" ref="G61:AG61" si="19">G62</f>
        <v>301430.32</v>
      </c>
      <c r="H61" s="31">
        <f t="shared" si="19"/>
        <v>0</v>
      </c>
      <c r="I61" s="31">
        <f t="shared" si="19"/>
        <v>0</v>
      </c>
      <c r="J61" s="31">
        <f t="shared" si="19"/>
        <v>440205.38</v>
      </c>
      <c r="K61" s="31">
        <f t="shared" si="19"/>
        <v>597348</v>
      </c>
      <c r="L61" s="31">
        <f t="shared" si="19"/>
        <v>0</v>
      </c>
      <c r="M61" s="76">
        <f t="shared" si="19"/>
        <v>0</v>
      </c>
      <c r="N61" s="31">
        <f t="shared" si="19"/>
        <v>0</v>
      </c>
      <c r="O61" s="31">
        <f t="shared" si="19"/>
        <v>0</v>
      </c>
      <c r="P61" s="31">
        <f t="shared" si="19"/>
        <v>0</v>
      </c>
      <c r="Q61" s="31">
        <f t="shared" si="19"/>
        <v>0</v>
      </c>
      <c r="R61" s="31">
        <f t="shared" si="19"/>
        <v>0</v>
      </c>
      <c r="S61" s="31">
        <f t="shared" si="19"/>
        <v>0</v>
      </c>
      <c r="T61" s="31">
        <f t="shared" si="19"/>
        <v>0</v>
      </c>
      <c r="U61" s="31">
        <f t="shared" si="19"/>
        <v>0</v>
      </c>
      <c r="V61" s="31">
        <f t="shared" si="19"/>
        <v>0</v>
      </c>
      <c r="W61" s="31">
        <f t="shared" si="19"/>
        <v>0</v>
      </c>
      <c r="X61" s="31">
        <f t="shared" si="19"/>
        <v>0</v>
      </c>
      <c r="Y61" s="31">
        <f t="shared" si="19"/>
        <v>0</v>
      </c>
      <c r="Z61" s="31">
        <f t="shared" si="19"/>
        <v>0</v>
      </c>
      <c r="AA61" s="31">
        <f t="shared" si="19"/>
        <v>0</v>
      </c>
      <c r="AB61" s="31">
        <f t="shared" si="19"/>
        <v>0</v>
      </c>
      <c r="AC61" s="31">
        <f t="shared" si="19"/>
        <v>0</v>
      </c>
      <c r="AD61" s="31">
        <f t="shared" si="19"/>
        <v>0</v>
      </c>
      <c r="AE61" s="31">
        <f t="shared" si="19"/>
        <v>20084.759999999998</v>
      </c>
      <c r="AF61" s="31">
        <f t="shared" si="19"/>
        <v>0</v>
      </c>
      <c r="AG61" s="31">
        <f t="shared" si="19"/>
        <v>0</v>
      </c>
      <c r="AH61" s="35" t="s">
        <v>915</v>
      </c>
      <c r="AI61" s="35" t="s">
        <v>915</v>
      </c>
      <c r="AJ61" s="35" t="s">
        <v>915</v>
      </c>
    </row>
    <row r="62" spans="1:36" s="20" customFormat="1" ht="61.5" x14ac:dyDescent="0.85">
      <c r="A62" s="20">
        <v>1</v>
      </c>
      <c r="B62" s="66">
        <f>SUBTOTAL(103,$A$13:A62)</f>
        <v>33</v>
      </c>
      <c r="C62" s="24" t="s">
        <v>1432</v>
      </c>
      <c r="D62" s="68" t="s">
        <v>1069</v>
      </c>
      <c r="E62" s="69">
        <v>1.0869557735329547</v>
      </c>
      <c r="F62" s="31">
        <f t="shared" si="3"/>
        <v>1359068.46</v>
      </c>
      <c r="G62" s="31">
        <v>301430.32</v>
      </c>
      <c r="H62" s="31">
        <v>0</v>
      </c>
      <c r="I62" s="31">
        <v>0</v>
      </c>
      <c r="J62" s="31">
        <v>440205.38</v>
      </c>
      <c r="K62" s="31">
        <v>597348</v>
      </c>
      <c r="L62" s="31">
        <v>0</v>
      </c>
      <c r="M62" s="76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f>ROUND((G62+H62+I62+J62+K62)*1.5%,2)</f>
        <v>20084.759999999998</v>
      </c>
      <c r="AF62" s="31">
        <v>0</v>
      </c>
      <c r="AG62" s="31">
        <v>0</v>
      </c>
      <c r="AH62" s="35" t="s">
        <v>274</v>
      </c>
      <c r="AI62" s="35">
        <v>2020</v>
      </c>
      <c r="AJ62" s="35">
        <v>2020</v>
      </c>
    </row>
    <row r="63" spans="1:36" ht="61.5" x14ac:dyDescent="0.25">
      <c r="B63" s="301" t="s">
        <v>1433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</row>
    <row r="64" spans="1:36" ht="61.5" x14ac:dyDescent="0.85">
      <c r="B64" s="308" t="s">
        <v>1076</v>
      </c>
      <c r="C64" s="309"/>
      <c r="D64" s="132" t="s">
        <v>915</v>
      </c>
      <c r="E64" s="69">
        <v>0.87170000000000003</v>
      </c>
      <c r="F64" s="31">
        <f t="shared" ref="F64:AG64" si="20">F65+F72+F75+F91+F98+F103+F130+F144+F150+F153+F155+F157+F162+F164+F166+F169+F172+F174+F176+F180+F182+F184+F186+F188+F190+F192+F195</f>
        <v>44635323.25999999</v>
      </c>
      <c r="G64" s="31">
        <f t="shared" si="20"/>
        <v>7510</v>
      </c>
      <c r="H64" s="31">
        <f t="shared" si="20"/>
        <v>0</v>
      </c>
      <c r="I64" s="31">
        <f t="shared" si="20"/>
        <v>175721.62</v>
      </c>
      <c r="J64" s="31">
        <f t="shared" si="20"/>
        <v>0</v>
      </c>
      <c r="K64" s="31">
        <f t="shared" si="20"/>
        <v>265366.61</v>
      </c>
      <c r="L64" s="31">
        <f t="shared" si="20"/>
        <v>0</v>
      </c>
      <c r="M64" s="33">
        <f t="shared" si="20"/>
        <v>0</v>
      </c>
      <c r="N64" s="31">
        <f t="shared" si="20"/>
        <v>0</v>
      </c>
      <c r="O64" s="31">
        <f t="shared" si="20"/>
        <v>78442.560000000012</v>
      </c>
      <c r="P64" s="31">
        <f t="shared" si="20"/>
        <v>41372067.380000003</v>
      </c>
      <c r="Q64" s="31">
        <f t="shared" si="20"/>
        <v>0</v>
      </c>
      <c r="R64" s="31">
        <f t="shared" si="20"/>
        <v>0</v>
      </c>
      <c r="S64" s="31">
        <f t="shared" si="20"/>
        <v>7004.24</v>
      </c>
      <c r="T64" s="31">
        <f t="shared" si="20"/>
        <v>1674150.27</v>
      </c>
      <c r="U64" s="31">
        <f t="shared" si="20"/>
        <v>143.80000000000001</v>
      </c>
      <c r="V64" s="31">
        <f t="shared" si="20"/>
        <v>128182</v>
      </c>
      <c r="W64" s="31">
        <f t="shared" si="20"/>
        <v>0</v>
      </c>
      <c r="X64" s="31">
        <f t="shared" si="20"/>
        <v>374577.91</v>
      </c>
      <c r="Y64" s="31">
        <f t="shared" si="20"/>
        <v>0</v>
      </c>
      <c r="Z64" s="31">
        <f t="shared" si="20"/>
        <v>0</v>
      </c>
      <c r="AA64" s="31">
        <f t="shared" si="20"/>
        <v>0</v>
      </c>
      <c r="AB64" s="31">
        <f t="shared" si="20"/>
        <v>0</v>
      </c>
      <c r="AC64" s="31">
        <f t="shared" si="20"/>
        <v>0</v>
      </c>
      <c r="AD64" s="31">
        <f t="shared" si="20"/>
        <v>0</v>
      </c>
      <c r="AE64" s="31">
        <f t="shared" si="20"/>
        <v>637747.4700000002</v>
      </c>
      <c r="AF64" s="31">
        <f t="shared" si="20"/>
        <v>0</v>
      </c>
      <c r="AG64" s="31">
        <f t="shared" si="20"/>
        <v>0</v>
      </c>
      <c r="AH64" s="107" t="s">
        <v>915</v>
      </c>
      <c r="AI64" s="107" t="s">
        <v>915</v>
      </c>
      <c r="AJ64" s="107" t="s">
        <v>915</v>
      </c>
    </row>
    <row r="65" spans="1:37" ht="62.25" x14ac:dyDescent="0.9">
      <c r="B65" s="133" t="s">
        <v>840</v>
      </c>
      <c r="C65" s="134"/>
      <c r="D65" s="108" t="s">
        <v>915</v>
      </c>
      <c r="E65" s="69">
        <f>AVERAGE(E66:E71)</f>
        <v>0.82381693240432963</v>
      </c>
      <c r="F65" s="31">
        <f>SUM(F66:F71)</f>
        <v>3987879.6799999997</v>
      </c>
      <c r="G65" s="31">
        <f t="shared" ref="G65:AG65" si="21">SUM(G66:G71)</f>
        <v>0</v>
      </c>
      <c r="H65" s="31">
        <f t="shared" si="21"/>
        <v>0</v>
      </c>
      <c r="I65" s="31">
        <f t="shared" si="21"/>
        <v>0</v>
      </c>
      <c r="J65" s="31">
        <f t="shared" si="21"/>
        <v>0</v>
      </c>
      <c r="K65" s="31">
        <f t="shared" si="21"/>
        <v>0</v>
      </c>
      <c r="L65" s="31">
        <f t="shared" si="21"/>
        <v>0</v>
      </c>
      <c r="M65" s="33">
        <f t="shared" si="21"/>
        <v>0</v>
      </c>
      <c r="N65" s="31">
        <f t="shared" si="21"/>
        <v>0</v>
      </c>
      <c r="O65" s="31">
        <f t="shared" si="21"/>
        <v>4824.3</v>
      </c>
      <c r="P65" s="31">
        <f t="shared" si="21"/>
        <v>3639374.5800000005</v>
      </c>
      <c r="Q65" s="31">
        <f t="shared" si="21"/>
        <v>0</v>
      </c>
      <c r="R65" s="31">
        <f t="shared" si="21"/>
        <v>0</v>
      </c>
      <c r="S65" s="31">
        <f t="shared" si="21"/>
        <v>0</v>
      </c>
      <c r="T65" s="31">
        <f t="shared" si="21"/>
        <v>0</v>
      </c>
      <c r="U65" s="31">
        <f t="shared" si="21"/>
        <v>0</v>
      </c>
      <c r="V65" s="31">
        <f t="shared" si="21"/>
        <v>0</v>
      </c>
      <c r="W65" s="31">
        <f t="shared" si="21"/>
        <v>0</v>
      </c>
      <c r="X65" s="31">
        <f t="shared" si="21"/>
        <v>289570.90999999997</v>
      </c>
      <c r="Y65" s="31">
        <f t="shared" si="21"/>
        <v>0</v>
      </c>
      <c r="Z65" s="31">
        <f t="shared" si="21"/>
        <v>0</v>
      </c>
      <c r="AA65" s="31">
        <f t="shared" si="21"/>
        <v>0</v>
      </c>
      <c r="AB65" s="31">
        <f t="shared" si="21"/>
        <v>0</v>
      </c>
      <c r="AC65" s="31">
        <f t="shared" si="21"/>
        <v>0</v>
      </c>
      <c r="AD65" s="31">
        <f t="shared" si="21"/>
        <v>0</v>
      </c>
      <c r="AE65" s="31">
        <f t="shared" si="21"/>
        <v>58934.189999999995</v>
      </c>
      <c r="AF65" s="31">
        <f t="shared" si="21"/>
        <v>0</v>
      </c>
      <c r="AG65" s="31">
        <f t="shared" si="21"/>
        <v>0</v>
      </c>
      <c r="AH65" s="107" t="s">
        <v>915</v>
      </c>
      <c r="AI65" s="107" t="s">
        <v>915</v>
      </c>
      <c r="AJ65" s="107" t="s">
        <v>915</v>
      </c>
    </row>
    <row r="66" spans="1:37" ht="61.5" x14ac:dyDescent="0.85">
      <c r="A66" s="6">
        <v>1</v>
      </c>
      <c r="B66" s="66">
        <f>SUBTOTAL(103,$A$66:A66)</f>
        <v>1</v>
      </c>
      <c r="C66" s="109" t="s">
        <v>640</v>
      </c>
      <c r="D66" s="72" t="s">
        <v>1066</v>
      </c>
      <c r="E66" s="69">
        <v>0.68103653271030484</v>
      </c>
      <c r="F66" s="31">
        <f t="shared" ref="F66:F151" si="22">G66+H66+I66+J66+K66+L66+N66+P66+R66+T66+V66+W66+X66+Y66+Z66+AA66+AB66+AC66+AD66+AE66+AF66+AG66</f>
        <v>806603.3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3">
        <v>0</v>
      </c>
      <c r="N66" s="31">
        <v>0</v>
      </c>
      <c r="O66" s="31">
        <v>851.8</v>
      </c>
      <c r="P66" s="31">
        <v>794683.05</v>
      </c>
      <c r="Q66" s="31">
        <v>0</v>
      </c>
      <c r="R66" s="31">
        <v>0</v>
      </c>
      <c r="S66" s="31">
        <v>0</v>
      </c>
      <c r="T66" s="110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f>ROUND(P66*1.5%,2)</f>
        <v>11920.25</v>
      </c>
      <c r="AF66" s="31">
        <v>0</v>
      </c>
      <c r="AG66" s="31">
        <v>0</v>
      </c>
      <c r="AH66" s="107" t="s">
        <v>274</v>
      </c>
      <c r="AI66" s="107">
        <v>2020</v>
      </c>
      <c r="AJ66" s="107">
        <v>2020</v>
      </c>
    </row>
    <row r="67" spans="1:37" ht="61.5" x14ac:dyDescent="0.85">
      <c r="A67" s="6">
        <v>1</v>
      </c>
      <c r="B67" s="66">
        <f>SUBTOTAL(103,$A$66:A67)</f>
        <v>2</v>
      </c>
      <c r="C67" s="109" t="s">
        <v>1449</v>
      </c>
      <c r="D67" s="88" t="s">
        <v>1434</v>
      </c>
      <c r="E67" s="69">
        <v>0.76770000000000005</v>
      </c>
      <c r="F67" s="31">
        <f t="shared" si="22"/>
        <v>746025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3">
        <v>0</v>
      </c>
      <c r="N67" s="31">
        <v>0</v>
      </c>
      <c r="O67" s="31">
        <v>901.5</v>
      </c>
      <c r="P67" s="31">
        <v>735000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f>ROUND(P67*1.5%,2)</f>
        <v>11025</v>
      </c>
      <c r="AF67" s="31">
        <v>0</v>
      </c>
      <c r="AG67" s="31">
        <v>0</v>
      </c>
      <c r="AH67" s="107" t="s">
        <v>274</v>
      </c>
      <c r="AI67" s="107">
        <v>2020</v>
      </c>
      <c r="AJ67" s="107">
        <v>2020</v>
      </c>
      <c r="AK67" s="111"/>
    </row>
    <row r="68" spans="1:37" ht="61.5" x14ac:dyDescent="0.85">
      <c r="A68" s="6">
        <v>1</v>
      </c>
      <c r="B68" s="66">
        <f>SUBTOTAL(103,$A$66:A68)</f>
        <v>3</v>
      </c>
      <c r="C68" s="109" t="s">
        <v>1450</v>
      </c>
      <c r="D68" s="88" t="s">
        <v>1064</v>
      </c>
      <c r="E68" s="69">
        <v>0.87790000000000001</v>
      </c>
      <c r="F68" s="31">
        <f t="shared" si="22"/>
        <v>1849341.27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3">
        <v>0</v>
      </c>
      <c r="N68" s="31">
        <v>0</v>
      </c>
      <c r="O68" s="31">
        <v>811</v>
      </c>
      <c r="P68" s="31">
        <v>1822011.1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f>ROUND(P68*1.5%,2)</f>
        <v>27330.17</v>
      </c>
      <c r="AF68" s="31">
        <v>0</v>
      </c>
      <c r="AG68" s="31">
        <v>0</v>
      </c>
      <c r="AH68" s="107" t="s">
        <v>274</v>
      </c>
      <c r="AI68" s="107">
        <v>2020</v>
      </c>
      <c r="AJ68" s="107">
        <v>2020</v>
      </c>
      <c r="AK68" s="111"/>
    </row>
    <row r="69" spans="1:37" ht="61.5" x14ac:dyDescent="0.85">
      <c r="A69" s="6">
        <v>1</v>
      </c>
      <c r="B69" s="66">
        <f>SUBTOTAL(103,$A$66:A69)</f>
        <v>4</v>
      </c>
      <c r="C69" s="109" t="s">
        <v>1451</v>
      </c>
      <c r="D69" s="88" t="s">
        <v>1065</v>
      </c>
      <c r="E69" s="69">
        <v>0.74686506171567224</v>
      </c>
      <c r="F69" s="31">
        <f t="shared" si="22"/>
        <v>293914.46999999997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3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110">
        <v>0</v>
      </c>
      <c r="U69" s="31">
        <v>0</v>
      </c>
      <c r="V69" s="31">
        <v>0</v>
      </c>
      <c r="W69" s="31">
        <v>0</v>
      </c>
      <c r="X69" s="31">
        <v>289570.90999999997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f>ROUND(X69*1.5%,2)</f>
        <v>4343.5600000000004</v>
      </c>
      <c r="AF69" s="31">
        <v>0</v>
      </c>
      <c r="AG69" s="31">
        <v>0</v>
      </c>
      <c r="AH69" s="107" t="s">
        <v>274</v>
      </c>
      <c r="AI69" s="107">
        <v>2020</v>
      </c>
      <c r="AJ69" s="107">
        <v>2020</v>
      </c>
      <c r="AK69" s="111"/>
    </row>
    <row r="70" spans="1:37" ht="61.5" x14ac:dyDescent="0.85">
      <c r="A70" s="6">
        <v>1</v>
      </c>
      <c r="B70" s="66">
        <f>SUBTOTAL(103,$A$66:A70)</f>
        <v>5</v>
      </c>
      <c r="C70" s="109" t="s">
        <v>1452</v>
      </c>
      <c r="D70" s="88" t="s">
        <v>1435</v>
      </c>
      <c r="E70" s="69">
        <v>0.94499999999999995</v>
      </c>
      <c r="F70" s="31">
        <f t="shared" si="22"/>
        <v>179920.82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3">
        <v>0</v>
      </c>
      <c r="N70" s="31">
        <v>0</v>
      </c>
      <c r="O70" s="31">
        <v>1160</v>
      </c>
      <c r="P70" s="31">
        <v>177261.89</v>
      </c>
      <c r="Q70" s="31">
        <v>0</v>
      </c>
      <c r="R70" s="31">
        <v>0</v>
      </c>
      <c r="S70" s="31">
        <v>0</v>
      </c>
      <c r="T70" s="110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f>ROUND(P70*1.5%,2)</f>
        <v>2658.93</v>
      </c>
      <c r="AF70" s="31">
        <v>0</v>
      </c>
      <c r="AG70" s="31">
        <v>0</v>
      </c>
      <c r="AH70" s="107" t="s">
        <v>274</v>
      </c>
      <c r="AI70" s="107">
        <v>2020</v>
      </c>
      <c r="AJ70" s="107">
        <v>2020</v>
      </c>
    </row>
    <row r="71" spans="1:37" ht="61.5" x14ac:dyDescent="0.85">
      <c r="A71" s="6">
        <v>1</v>
      </c>
      <c r="B71" s="66">
        <f>SUBTOTAL(103,$A$66:A71)</f>
        <v>6</v>
      </c>
      <c r="C71" s="109" t="s">
        <v>1453</v>
      </c>
      <c r="D71" s="88" t="s">
        <v>1065</v>
      </c>
      <c r="E71" s="69">
        <v>0.9244</v>
      </c>
      <c r="F71" s="31">
        <f t="shared" si="22"/>
        <v>112074.81999999999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3">
        <v>0</v>
      </c>
      <c r="N71" s="31">
        <v>0</v>
      </c>
      <c r="O71" s="31">
        <v>1100</v>
      </c>
      <c r="P71" s="31">
        <v>110418.54</v>
      </c>
      <c r="Q71" s="31">
        <v>0</v>
      </c>
      <c r="R71" s="31">
        <v>0</v>
      </c>
      <c r="S71" s="31">
        <v>0</v>
      </c>
      <c r="T71" s="110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f>ROUND(P71*1.5%,2)</f>
        <v>1656.28</v>
      </c>
      <c r="AF71" s="31">
        <v>0</v>
      </c>
      <c r="AG71" s="31">
        <v>0</v>
      </c>
      <c r="AH71" s="107" t="s">
        <v>274</v>
      </c>
      <c r="AI71" s="107">
        <v>2020</v>
      </c>
      <c r="AJ71" s="107">
        <v>2020</v>
      </c>
    </row>
    <row r="72" spans="1:37" ht="62.25" x14ac:dyDescent="0.9">
      <c r="B72" s="133" t="s">
        <v>844</v>
      </c>
      <c r="C72" s="134"/>
      <c r="D72" s="108" t="s">
        <v>915</v>
      </c>
      <c r="E72" s="69">
        <f>AVERAGE(E73:E74)</f>
        <v>0.9247850694999683</v>
      </c>
      <c r="F72" s="31">
        <f>F73+F74</f>
        <v>36746.29</v>
      </c>
      <c r="G72" s="31">
        <f t="shared" ref="G72:AG72" si="23">G73+G74</f>
        <v>0</v>
      </c>
      <c r="H72" s="31">
        <f t="shared" si="23"/>
        <v>0</v>
      </c>
      <c r="I72" s="31">
        <f t="shared" si="23"/>
        <v>0</v>
      </c>
      <c r="J72" s="31">
        <f t="shared" si="23"/>
        <v>0</v>
      </c>
      <c r="K72" s="31">
        <f t="shared" si="23"/>
        <v>0</v>
      </c>
      <c r="L72" s="31">
        <f t="shared" si="23"/>
        <v>0</v>
      </c>
      <c r="M72" s="33">
        <f t="shared" si="23"/>
        <v>0</v>
      </c>
      <c r="N72" s="31">
        <f t="shared" si="23"/>
        <v>0</v>
      </c>
      <c r="O72" s="31">
        <f t="shared" si="23"/>
        <v>1670</v>
      </c>
      <c r="P72" s="31">
        <f t="shared" si="23"/>
        <v>36203.24</v>
      </c>
      <c r="Q72" s="31">
        <f t="shared" si="23"/>
        <v>0</v>
      </c>
      <c r="R72" s="31">
        <f t="shared" si="23"/>
        <v>0</v>
      </c>
      <c r="S72" s="31">
        <f t="shared" si="23"/>
        <v>0</v>
      </c>
      <c r="T72" s="31">
        <f t="shared" si="23"/>
        <v>0</v>
      </c>
      <c r="U72" s="31">
        <f t="shared" si="23"/>
        <v>0</v>
      </c>
      <c r="V72" s="31">
        <f t="shared" si="23"/>
        <v>0</v>
      </c>
      <c r="W72" s="31">
        <f t="shared" si="23"/>
        <v>0</v>
      </c>
      <c r="X72" s="31">
        <f t="shared" si="23"/>
        <v>0</v>
      </c>
      <c r="Y72" s="31">
        <f t="shared" si="23"/>
        <v>0</v>
      </c>
      <c r="Z72" s="31">
        <f t="shared" si="23"/>
        <v>0</v>
      </c>
      <c r="AA72" s="31">
        <f t="shared" si="23"/>
        <v>0</v>
      </c>
      <c r="AB72" s="31">
        <f t="shared" si="23"/>
        <v>0</v>
      </c>
      <c r="AC72" s="31">
        <f t="shared" si="23"/>
        <v>0</v>
      </c>
      <c r="AD72" s="31">
        <f t="shared" si="23"/>
        <v>0</v>
      </c>
      <c r="AE72" s="31">
        <f t="shared" si="23"/>
        <v>543.04999999999995</v>
      </c>
      <c r="AF72" s="31">
        <f t="shared" si="23"/>
        <v>0</v>
      </c>
      <c r="AG72" s="31">
        <f t="shared" si="23"/>
        <v>0</v>
      </c>
      <c r="AH72" s="107" t="s">
        <v>915</v>
      </c>
      <c r="AI72" s="107" t="s">
        <v>915</v>
      </c>
      <c r="AJ72" s="107" t="s">
        <v>915</v>
      </c>
    </row>
    <row r="73" spans="1:37" ht="61.5" x14ac:dyDescent="0.85">
      <c r="A73" s="6">
        <v>1</v>
      </c>
      <c r="B73" s="66">
        <f>SUBTOTAL(103,$A$66:A73)</f>
        <v>7</v>
      </c>
      <c r="C73" s="109" t="s">
        <v>1454</v>
      </c>
      <c r="D73" s="72" t="s">
        <v>1436</v>
      </c>
      <c r="E73" s="69">
        <v>0.95197013899993665</v>
      </c>
      <c r="F73" s="31">
        <f t="shared" si="22"/>
        <v>11476.890000000001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3">
        <v>0</v>
      </c>
      <c r="N73" s="31">
        <v>0</v>
      </c>
      <c r="O73" s="31">
        <v>924</v>
      </c>
      <c r="P73" s="31">
        <v>11307.28</v>
      </c>
      <c r="Q73" s="31">
        <v>0</v>
      </c>
      <c r="R73" s="31">
        <v>0</v>
      </c>
      <c r="S73" s="31">
        <v>0</v>
      </c>
      <c r="T73" s="110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f>ROUND(P73*1.5%,2)</f>
        <v>169.61</v>
      </c>
      <c r="AF73" s="31">
        <v>0</v>
      </c>
      <c r="AG73" s="31">
        <v>0</v>
      </c>
      <c r="AH73" s="107" t="s">
        <v>274</v>
      </c>
      <c r="AI73" s="107">
        <v>2020</v>
      </c>
      <c r="AJ73" s="107">
        <v>2020</v>
      </c>
    </row>
    <row r="74" spans="1:37" ht="61.5" x14ac:dyDescent="0.85">
      <c r="A74" s="6">
        <v>1</v>
      </c>
      <c r="B74" s="66">
        <f>SUBTOTAL(103,$A$66:A74)</f>
        <v>8</v>
      </c>
      <c r="C74" s="109" t="s">
        <v>1455</v>
      </c>
      <c r="D74" s="88" t="s">
        <v>1067</v>
      </c>
      <c r="E74" s="69">
        <v>0.89759999999999995</v>
      </c>
      <c r="F74" s="31">
        <f t="shared" si="22"/>
        <v>25269.399999999998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3">
        <v>0</v>
      </c>
      <c r="N74" s="31">
        <v>0</v>
      </c>
      <c r="O74" s="31">
        <v>746</v>
      </c>
      <c r="P74" s="31">
        <v>24895.96</v>
      </c>
      <c r="Q74" s="31">
        <v>0</v>
      </c>
      <c r="R74" s="31">
        <v>0</v>
      </c>
      <c r="S74" s="31">
        <v>0</v>
      </c>
      <c r="T74" s="110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f>ROUND(P74*1.5%,2)</f>
        <v>373.44</v>
      </c>
      <c r="AF74" s="31">
        <v>0</v>
      </c>
      <c r="AG74" s="31">
        <v>0</v>
      </c>
      <c r="AH74" s="107" t="s">
        <v>274</v>
      </c>
      <c r="AI74" s="107">
        <v>2020</v>
      </c>
      <c r="AJ74" s="107">
        <v>2020</v>
      </c>
    </row>
    <row r="75" spans="1:37" ht="62.25" x14ac:dyDescent="0.9">
      <c r="B75" s="133" t="s">
        <v>1072</v>
      </c>
      <c r="C75" s="134"/>
      <c r="D75" s="108" t="s">
        <v>915</v>
      </c>
      <c r="E75" s="69">
        <f>AVERAGE(E76:E89)</f>
        <v>0.96620714285714282</v>
      </c>
      <c r="F75" s="31">
        <f t="shared" ref="F75:AG75" si="24">SUM(F76:F90)</f>
        <v>1767174.4000000001</v>
      </c>
      <c r="G75" s="31">
        <f t="shared" si="24"/>
        <v>0</v>
      </c>
      <c r="H75" s="31">
        <f t="shared" si="24"/>
        <v>0</v>
      </c>
      <c r="I75" s="31">
        <f t="shared" si="24"/>
        <v>0</v>
      </c>
      <c r="J75" s="31">
        <f t="shared" si="24"/>
        <v>0</v>
      </c>
      <c r="K75" s="31">
        <f t="shared" si="24"/>
        <v>0</v>
      </c>
      <c r="L75" s="31">
        <f t="shared" si="24"/>
        <v>0</v>
      </c>
      <c r="M75" s="31">
        <f t="shared" si="24"/>
        <v>0</v>
      </c>
      <c r="N75" s="31">
        <f t="shared" si="24"/>
        <v>0</v>
      </c>
      <c r="O75" s="31">
        <f t="shared" si="24"/>
        <v>9671.5600000000013</v>
      </c>
      <c r="P75" s="31">
        <f t="shared" si="24"/>
        <v>1185864.9300000002</v>
      </c>
      <c r="Q75" s="31">
        <f t="shared" si="24"/>
        <v>0</v>
      </c>
      <c r="R75" s="31">
        <f t="shared" si="24"/>
        <v>0</v>
      </c>
      <c r="S75" s="31">
        <f t="shared" si="24"/>
        <v>853.2</v>
      </c>
      <c r="T75" s="31">
        <f t="shared" si="24"/>
        <v>427011.58</v>
      </c>
      <c r="U75" s="31">
        <f t="shared" si="24"/>
        <v>143.80000000000001</v>
      </c>
      <c r="V75" s="31">
        <f t="shared" si="24"/>
        <v>128182</v>
      </c>
      <c r="W75" s="31">
        <f t="shared" si="24"/>
        <v>0</v>
      </c>
      <c r="X75" s="31">
        <f t="shared" si="24"/>
        <v>0</v>
      </c>
      <c r="Y75" s="31">
        <f t="shared" si="24"/>
        <v>0</v>
      </c>
      <c r="Z75" s="31">
        <f t="shared" si="24"/>
        <v>0</v>
      </c>
      <c r="AA75" s="31">
        <f t="shared" si="24"/>
        <v>0</v>
      </c>
      <c r="AB75" s="31">
        <f t="shared" si="24"/>
        <v>0</v>
      </c>
      <c r="AC75" s="31">
        <f t="shared" si="24"/>
        <v>0</v>
      </c>
      <c r="AD75" s="31">
        <f t="shared" si="24"/>
        <v>0</v>
      </c>
      <c r="AE75" s="31">
        <f t="shared" si="24"/>
        <v>26115.890000000003</v>
      </c>
      <c r="AF75" s="31">
        <f t="shared" si="24"/>
        <v>0</v>
      </c>
      <c r="AG75" s="31">
        <f t="shared" si="24"/>
        <v>0</v>
      </c>
      <c r="AH75" s="107" t="s">
        <v>915</v>
      </c>
      <c r="AI75" s="107" t="s">
        <v>915</v>
      </c>
      <c r="AJ75" s="107" t="s">
        <v>915</v>
      </c>
    </row>
    <row r="76" spans="1:37" ht="61.5" x14ac:dyDescent="0.85">
      <c r="A76" s="6">
        <v>1</v>
      </c>
      <c r="B76" s="66">
        <f>SUBTOTAL(103,$A$66:A76)</f>
        <v>9</v>
      </c>
      <c r="C76" s="109" t="s">
        <v>1456</v>
      </c>
      <c r="D76" s="88" t="s">
        <v>1066</v>
      </c>
      <c r="E76" s="69">
        <v>0.97330000000000005</v>
      </c>
      <c r="F76" s="31">
        <f t="shared" si="22"/>
        <v>13062.04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3">
        <v>0</v>
      </c>
      <c r="N76" s="31">
        <v>0</v>
      </c>
      <c r="O76" s="31">
        <v>1120</v>
      </c>
      <c r="P76" s="31">
        <v>12869</v>
      </c>
      <c r="Q76" s="31">
        <v>0</v>
      </c>
      <c r="R76" s="31">
        <v>0</v>
      </c>
      <c r="S76" s="31">
        <v>0</v>
      </c>
      <c r="T76" s="110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f>ROUND(P76*1.5%,2)</f>
        <v>193.04</v>
      </c>
      <c r="AF76" s="31">
        <v>0</v>
      </c>
      <c r="AG76" s="31">
        <v>0</v>
      </c>
      <c r="AH76" s="107" t="s">
        <v>274</v>
      </c>
      <c r="AI76" s="107">
        <v>2020</v>
      </c>
      <c r="AJ76" s="107">
        <v>2020</v>
      </c>
    </row>
    <row r="77" spans="1:37" ht="61.5" x14ac:dyDescent="0.85">
      <c r="A77" s="6">
        <v>1</v>
      </c>
      <c r="B77" s="66">
        <f>SUBTOTAL(103,$A$66:A77)</f>
        <v>10</v>
      </c>
      <c r="C77" s="109" t="s">
        <v>1457</v>
      </c>
      <c r="D77" s="88" t="s">
        <v>1067</v>
      </c>
      <c r="E77" s="69">
        <v>0.86990000000000001</v>
      </c>
      <c r="F77" s="31">
        <f t="shared" si="22"/>
        <v>173871.57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3">
        <v>0</v>
      </c>
      <c r="N77" s="31">
        <v>0</v>
      </c>
      <c r="O77" s="31">
        <v>728.12</v>
      </c>
      <c r="P77" s="31">
        <v>171302.04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f t="shared" ref="AE77:AE82" si="25">ROUND(P77*1.5%,2)</f>
        <v>2569.5300000000002</v>
      </c>
      <c r="AF77" s="31">
        <v>0</v>
      </c>
      <c r="AG77" s="31">
        <v>0</v>
      </c>
      <c r="AH77" s="107" t="s">
        <v>274</v>
      </c>
      <c r="AI77" s="107">
        <v>2020</v>
      </c>
      <c r="AJ77" s="107">
        <v>2020</v>
      </c>
    </row>
    <row r="78" spans="1:37" ht="61.5" x14ac:dyDescent="0.85">
      <c r="A78" s="6">
        <v>1</v>
      </c>
      <c r="B78" s="66">
        <f>SUBTOTAL(103,$A$66:A78)</f>
        <v>11</v>
      </c>
      <c r="C78" s="109" t="s">
        <v>1458</v>
      </c>
      <c r="D78" s="88" t="s">
        <v>1065</v>
      </c>
      <c r="E78" s="69">
        <v>0.95440000000000003</v>
      </c>
      <c r="F78" s="31">
        <f t="shared" si="22"/>
        <v>82406.94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3">
        <v>0</v>
      </c>
      <c r="N78" s="31">
        <v>0</v>
      </c>
      <c r="O78" s="31">
        <v>755</v>
      </c>
      <c r="P78" s="31">
        <v>81189.100000000006</v>
      </c>
      <c r="Q78" s="31">
        <v>0</v>
      </c>
      <c r="R78" s="31">
        <v>0</v>
      </c>
      <c r="S78" s="31">
        <v>0</v>
      </c>
      <c r="T78" s="110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f t="shared" si="25"/>
        <v>1217.8399999999999</v>
      </c>
      <c r="AF78" s="31">
        <v>0</v>
      </c>
      <c r="AG78" s="31">
        <v>0</v>
      </c>
      <c r="AH78" s="107" t="s">
        <v>274</v>
      </c>
      <c r="AI78" s="107">
        <v>2020</v>
      </c>
      <c r="AJ78" s="107">
        <v>2020</v>
      </c>
    </row>
    <row r="79" spans="1:37" ht="61.5" x14ac:dyDescent="0.85">
      <c r="A79" s="6">
        <v>1</v>
      </c>
      <c r="B79" s="66">
        <f>SUBTOTAL(103,$A$66:A79)</f>
        <v>12</v>
      </c>
      <c r="C79" s="109" t="s">
        <v>1459</v>
      </c>
      <c r="D79" s="88" t="s">
        <v>1438</v>
      </c>
      <c r="E79" s="69">
        <v>1.0023</v>
      </c>
      <c r="F79" s="31">
        <f t="shared" si="22"/>
        <v>48720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3">
        <v>0</v>
      </c>
      <c r="N79" s="31">
        <v>0</v>
      </c>
      <c r="O79" s="31">
        <v>497</v>
      </c>
      <c r="P79" s="31">
        <v>48000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f t="shared" si="25"/>
        <v>720</v>
      </c>
      <c r="AF79" s="31">
        <v>0</v>
      </c>
      <c r="AG79" s="31">
        <v>0</v>
      </c>
      <c r="AH79" s="107" t="s">
        <v>274</v>
      </c>
      <c r="AI79" s="107">
        <v>2020</v>
      </c>
      <c r="AJ79" s="107">
        <v>2020</v>
      </c>
    </row>
    <row r="80" spans="1:37" ht="61.5" x14ac:dyDescent="0.85">
      <c r="A80" s="6">
        <v>1</v>
      </c>
      <c r="B80" s="66">
        <f>SUBTOTAL(103,$A$66:A80)</f>
        <v>13</v>
      </c>
      <c r="C80" s="109" t="s">
        <v>1460</v>
      </c>
      <c r="D80" s="88" t="s">
        <v>1067</v>
      </c>
      <c r="E80" s="69">
        <v>0.96599999999999997</v>
      </c>
      <c r="F80" s="31">
        <f t="shared" si="22"/>
        <v>27496.35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3">
        <v>0</v>
      </c>
      <c r="N80" s="31">
        <v>0</v>
      </c>
      <c r="O80" s="31">
        <v>636</v>
      </c>
      <c r="P80" s="31">
        <v>27090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f t="shared" si="25"/>
        <v>406.35</v>
      </c>
      <c r="AF80" s="31">
        <v>0</v>
      </c>
      <c r="AG80" s="31">
        <v>0</v>
      </c>
      <c r="AH80" s="107" t="s">
        <v>274</v>
      </c>
      <c r="AI80" s="107">
        <v>2020</v>
      </c>
      <c r="AJ80" s="107">
        <v>2020</v>
      </c>
    </row>
    <row r="81" spans="1:36" ht="61.5" x14ac:dyDescent="0.85">
      <c r="A81" s="6">
        <v>1</v>
      </c>
      <c r="B81" s="66">
        <f>SUBTOTAL(103,$A$66:A81)</f>
        <v>14</v>
      </c>
      <c r="C81" s="109" t="s">
        <v>1461</v>
      </c>
      <c r="D81" s="88" t="s">
        <v>1065</v>
      </c>
      <c r="E81" s="69">
        <v>0.90890000000000004</v>
      </c>
      <c r="F81" s="31">
        <f t="shared" si="22"/>
        <v>381944.5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3">
        <v>0</v>
      </c>
      <c r="N81" s="31">
        <v>0</v>
      </c>
      <c r="O81" s="31">
        <v>645</v>
      </c>
      <c r="P81" s="31">
        <v>376300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f t="shared" si="25"/>
        <v>5644.5</v>
      </c>
      <c r="AF81" s="31">
        <v>0</v>
      </c>
      <c r="AG81" s="31">
        <v>0</v>
      </c>
      <c r="AH81" s="107" t="s">
        <v>274</v>
      </c>
      <c r="AI81" s="107">
        <v>2020</v>
      </c>
      <c r="AJ81" s="107">
        <v>2020</v>
      </c>
    </row>
    <row r="82" spans="1:36" ht="61.5" x14ac:dyDescent="0.85">
      <c r="A82" s="6">
        <v>1</v>
      </c>
      <c r="B82" s="66">
        <f>SUBTOTAL(103,$A$66:A82)</f>
        <v>15</v>
      </c>
      <c r="C82" s="109" t="s">
        <v>1462</v>
      </c>
      <c r="D82" s="88" t="s">
        <v>1067</v>
      </c>
      <c r="E82" s="69">
        <v>0.97260000000000002</v>
      </c>
      <c r="F82" s="31">
        <f t="shared" si="22"/>
        <v>16240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3">
        <v>0</v>
      </c>
      <c r="N82" s="31">
        <v>0</v>
      </c>
      <c r="O82" s="31">
        <v>691.81</v>
      </c>
      <c r="P82" s="31">
        <v>16000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f t="shared" si="25"/>
        <v>240</v>
      </c>
      <c r="AF82" s="31">
        <v>0</v>
      </c>
      <c r="AG82" s="31">
        <v>0</v>
      </c>
      <c r="AH82" s="107" t="s">
        <v>274</v>
      </c>
      <c r="AI82" s="107">
        <v>2020</v>
      </c>
      <c r="AJ82" s="107">
        <v>2020</v>
      </c>
    </row>
    <row r="83" spans="1:36" ht="61.5" x14ac:dyDescent="0.85">
      <c r="A83" s="6">
        <v>1</v>
      </c>
      <c r="B83" s="66">
        <f>SUBTOTAL(103,$A$66:A83)</f>
        <v>16</v>
      </c>
      <c r="C83" s="109" t="s">
        <v>1463</v>
      </c>
      <c r="D83" s="88" t="s">
        <v>1065</v>
      </c>
      <c r="E83" s="69">
        <v>0.9919</v>
      </c>
      <c r="F83" s="31">
        <f t="shared" si="22"/>
        <v>433416.75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3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853.2</v>
      </c>
      <c r="T83" s="110">
        <v>427011.58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f>ROUND(T83*1.5%,2)</f>
        <v>6405.17</v>
      </c>
      <c r="AF83" s="31">
        <v>0</v>
      </c>
      <c r="AG83" s="31">
        <v>0</v>
      </c>
      <c r="AH83" s="107" t="s">
        <v>274</v>
      </c>
      <c r="AI83" s="107">
        <v>2020</v>
      </c>
      <c r="AJ83" s="107">
        <v>2020</v>
      </c>
    </row>
    <row r="84" spans="1:36" ht="61.5" x14ac:dyDescent="0.85">
      <c r="A84" s="6">
        <v>1</v>
      </c>
      <c r="B84" s="66">
        <f>SUBTOTAL(103,$A$66:A84)</f>
        <v>17</v>
      </c>
      <c r="C84" s="109" t="s">
        <v>1147</v>
      </c>
      <c r="D84" s="88" t="s">
        <v>1439</v>
      </c>
      <c r="E84" s="69">
        <v>0.96870000000000001</v>
      </c>
      <c r="F84" s="31">
        <f t="shared" si="22"/>
        <v>148190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3">
        <v>0</v>
      </c>
      <c r="N84" s="31">
        <v>0</v>
      </c>
      <c r="O84" s="31">
        <v>404</v>
      </c>
      <c r="P84" s="31">
        <v>146000</v>
      </c>
      <c r="Q84" s="31">
        <v>0</v>
      </c>
      <c r="R84" s="31">
        <v>0</v>
      </c>
      <c r="S84" s="31">
        <v>0</v>
      </c>
      <c r="T84" s="110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f>ROUND(P84*1.5%,2)</f>
        <v>2190</v>
      </c>
      <c r="AF84" s="31">
        <v>0</v>
      </c>
      <c r="AG84" s="31">
        <v>0</v>
      </c>
      <c r="AH84" s="107" t="s">
        <v>274</v>
      </c>
      <c r="AI84" s="107">
        <v>2020</v>
      </c>
      <c r="AJ84" s="107">
        <v>2020</v>
      </c>
    </row>
    <row r="85" spans="1:36" ht="61.5" x14ac:dyDescent="0.85">
      <c r="A85" s="6">
        <v>1</v>
      </c>
      <c r="B85" s="66">
        <f>SUBTOTAL(103,$A$66:A85)</f>
        <v>18</v>
      </c>
      <c r="C85" s="109" t="s">
        <v>1464</v>
      </c>
      <c r="D85" s="88" t="s">
        <v>1436</v>
      </c>
      <c r="E85" s="69">
        <v>1.0038</v>
      </c>
      <c r="F85" s="31">
        <f t="shared" si="22"/>
        <v>17378.54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3">
        <v>0</v>
      </c>
      <c r="N85" s="31">
        <v>0</v>
      </c>
      <c r="O85" s="31">
        <v>1156</v>
      </c>
      <c r="P85" s="31">
        <v>17121.71</v>
      </c>
      <c r="Q85" s="31">
        <v>0</v>
      </c>
      <c r="R85" s="31">
        <v>0</v>
      </c>
      <c r="S85" s="31">
        <v>0</v>
      </c>
      <c r="T85" s="110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f>ROUND(P85*1.5%,2)</f>
        <v>256.83</v>
      </c>
      <c r="AF85" s="31">
        <v>0</v>
      </c>
      <c r="AG85" s="31">
        <v>0</v>
      </c>
      <c r="AH85" s="107" t="s">
        <v>274</v>
      </c>
      <c r="AI85" s="107">
        <v>2020</v>
      </c>
      <c r="AJ85" s="107">
        <v>2020</v>
      </c>
    </row>
    <row r="86" spans="1:36" ht="61.5" x14ac:dyDescent="0.85">
      <c r="A86" s="6">
        <v>1</v>
      </c>
      <c r="B86" s="66">
        <f>SUBTOTAL(103,$A$66:A86)</f>
        <v>19</v>
      </c>
      <c r="C86" s="109" t="s">
        <v>1535</v>
      </c>
      <c r="D86" s="88" t="s">
        <v>1065</v>
      </c>
      <c r="E86" s="69">
        <v>0.97260000000000002</v>
      </c>
      <c r="F86" s="31">
        <f t="shared" si="22"/>
        <v>130104.73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3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110">
        <v>0</v>
      </c>
      <c r="U86" s="31">
        <v>143.80000000000001</v>
      </c>
      <c r="V86" s="31">
        <v>128182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f>ROUND(V86*1.5%,2)</f>
        <v>1922.73</v>
      </c>
      <c r="AF86" s="31">
        <v>0</v>
      </c>
      <c r="AG86" s="31">
        <v>0</v>
      </c>
      <c r="AH86" s="107" t="s">
        <v>274</v>
      </c>
      <c r="AI86" s="107">
        <v>2020</v>
      </c>
      <c r="AJ86" s="107">
        <v>2020</v>
      </c>
    </row>
    <row r="87" spans="1:36" ht="61.5" x14ac:dyDescent="0.85">
      <c r="A87" s="6">
        <v>1</v>
      </c>
      <c r="B87" s="66">
        <f>SUBTOTAL(103,$A$66:A87)</f>
        <v>20</v>
      </c>
      <c r="C87" s="109" t="s">
        <v>1536</v>
      </c>
      <c r="D87" s="88" t="s">
        <v>1065</v>
      </c>
      <c r="E87" s="69">
        <v>0.9859</v>
      </c>
      <c r="F87" s="31">
        <f t="shared" si="22"/>
        <v>159880.76999999999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3">
        <v>0</v>
      </c>
      <c r="N87" s="31">
        <v>0</v>
      </c>
      <c r="O87" s="31">
        <v>622.63</v>
      </c>
      <c r="P87" s="31">
        <v>157518</v>
      </c>
      <c r="Q87" s="31">
        <v>0</v>
      </c>
      <c r="R87" s="31">
        <v>0</v>
      </c>
      <c r="S87" s="31">
        <v>0</v>
      </c>
      <c r="T87" s="110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f>ROUND(P87*1.5%,2)</f>
        <v>2362.77</v>
      </c>
      <c r="AF87" s="31">
        <v>0</v>
      </c>
      <c r="AG87" s="31">
        <v>0</v>
      </c>
      <c r="AH87" s="107" t="s">
        <v>274</v>
      </c>
      <c r="AI87" s="107">
        <v>2020</v>
      </c>
      <c r="AJ87" s="107">
        <v>2020</v>
      </c>
    </row>
    <row r="88" spans="1:36" ht="61.5" x14ac:dyDescent="0.85">
      <c r="A88" s="6">
        <v>1</v>
      </c>
      <c r="B88" s="66">
        <f>SUBTOTAL(103,$A$66:A88)</f>
        <v>21</v>
      </c>
      <c r="C88" s="109" t="s">
        <v>1537</v>
      </c>
      <c r="D88" s="88" t="s">
        <v>1065</v>
      </c>
      <c r="E88" s="69">
        <v>1.0001</v>
      </c>
      <c r="F88" s="31">
        <f t="shared" si="22"/>
        <v>9498.3700000000008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3">
        <v>0</v>
      </c>
      <c r="N88" s="31">
        <v>0</v>
      </c>
      <c r="O88" s="31">
        <v>550</v>
      </c>
      <c r="P88" s="31">
        <v>9358</v>
      </c>
      <c r="Q88" s="31">
        <v>0</v>
      </c>
      <c r="R88" s="31">
        <v>0</v>
      </c>
      <c r="S88" s="31">
        <v>0</v>
      </c>
      <c r="T88" s="110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f>ROUND(P88*1.5%,2)</f>
        <v>140.37</v>
      </c>
      <c r="AF88" s="31">
        <v>0</v>
      </c>
      <c r="AG88" s="31">
        <v>0</v>
      </c>
      <c r="AH88" s="107" t="s">
        <v>274</v>
      </c>
      <c r="AI88" s="107">
        <v>2020</v>
      </c>
      <c r="AJ88" s="107">
        <v>2020</v>
      </c>
    </row>
    <row r="89" spans="1:36" ht="61.5" x14ac:dyDescent="0.85">
      <c r="A89" s="6">
        <v>1</v>
      </c>
      <c r="B89" s="66">
        <f>SUBTOTAL(103,$A$66:A89)</f>
        <v>22</v>
      </c>
      <c r="C89" s="109" t="s">
        <v>1538</v>
      </c>
      <c r="D89" s="88" t="s">
        <v>1070</v>
      </c>
      <c r="E89" s="69">
        <v>0.95650000000000002</v>
      </c>
      <c r="F89" s="31">
        <f t="shared" si="22"/>
        <v>61000.49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3">
        <v>0</v>
      </c>
      <c r="N89" s="31">
        <v>0</v>
      </c>
      <c r="O89" s="31">
        <v>807</v>
      </c>
      <c r="P89" s="31">
        <v>60099</v>
      </c>
      <c r="Q89" s="31">
        <v>0</v>
      </c>
      <c r="R89" s="31">
        <v>0</v>
      </c>
      <c r="S89" s="31">
        <v>0</v>
      </c>
      <c r="T89" s="110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f>ROUND(P89*1.5%,2)</f>
        <v>901.49</v>
      </c>
      <c r="AF89" s="31">
        <v>0</v>
      </c>
      <c r="AG89" s="31">
        <v>0</v>
      </c>
      <c r="AH89" s="107" t="s">
        <v>274</v>
      </c>
      <c r="AI89" s="107">
        <v>2020</v>
      </c>
      <c r="AJ89" s="107">
        <v>2020</v>
      </c>
    </row>
    <row r="90" spans="1:36" ht="61.5" x14ac:dyDescent="0.85">
      <c r="A90" s="6">
        <v>1</v>
      </c>
      <c r="B90" s="66">
        <f>SUBTOTAL(103,$A$66:A90)</f>
        <v>23</v>
      </c>
      <c r="C90" s="109" t="s">
        <v>1647</v>
      </c>
      <c r="D90" s="88" t="s">
        <v>1065</v>
      </c>
      <c r="E90" s="69">
        <v>0.76249999999999996</v>
      </c>
      <c r="F90" s="31">
        <f t="shared" si="22"/>
        <v>63963.35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3">
        <v>0</v>
      </c>
      <c r="N90" s="31">
        <v>0</v>
      </c>
      <c r="O90" s="31">
        <v>1059</v>
      </c>
      <c r="P90" s="31">
        <v>63018.080000000002</v>
      </c>
      <c r="Q90" s="31">
        <v>0</v>
      </c>
      <c r="R90" s="31">
        <v>0</v>
      </c>
      <c r="S90" s="31">
        <v>0</v>
      </c>
      <c r="T90" s="110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f>ROUND(P90*1.5%,2)</f>
        <v>945.27</v>
      </c>
      <c r="AF90" s="31">
        <v>0</v>
      </c>
      <c r="AG90" s="31">
        <v>0</v>
      </c>
      <c r="AH90" s="107" t="s">
        <v>274</v>
      </c>
      <c r="AI90" s="107">
        <v>2020</v>
      </c>
      <c r="AJ90" s="107">
        <v>2020</v>
      </c>
    </row>
    <row r="91" spans="1:36" ht="62.25" x14ac:dyDescent="0.9">
      <c r="B91" s="133" t="s">
        <v>848</v>
      </c>
      <c r="C91" s="134"/>
      <c r="D91" s="108" t="s">
        <v>915</v>
      </c>
      <c r="E91" s="69">
        <f>AVERAGE(E92:E97)</f>
        <v>0.76542144298194448</v>
      </c>
      <c r="F91" s="31">
        <f>SUM(F92:F97)</f>
        <v>7687526.0199999996</v>
      </c>
      <c r="G91" s="31">
        <f t="shared" ref="G91:AG91" si="26">SUM(G92:G97)</f>
        <v>0</v>
      </c>
      <c r="H91" s="31">
        <f t="shared" si="26"/>
        <v>0</v>
      </c>
      <c r="I91" s="31">
        <f t="shared" si="26"/>
        <v>0</v>
      </c>
      <c r="J91" s="31">
        <f t="shared" si="26"/>
        <v>0</v>
      </c>
      <c r="K91" s="31">
        <f t="shared" si="26"/>
        <v>0</v>
      </c>
      <c r="L91" s="31">
        <f t="shared" si="26"/>
        <v>0</v>
      </c>
      <c r="M91" s="33">
        <f t="shared" si="26"/>
        <v>0</v>
      </c>
      <c r="N91" s="31">
        <f t="shared" si="26"/>
        <v>0</v>
      </c>
      <c r="O91" s="31">
        <f t="shared" si="26"/>
        <v>5334.26</v>
      </c>
      <c r="P91" s="31">
        <f t="shared" si="26"/>
        <v>7573917.2599999998</v>
      </c>
      <c r="Q91" s="31">
        <f t="shared" si="26"/>
        <v>0</v>
      </c>
      <c r="R91" s="31">
        <f t="shared" si="26"/>
        <v>0</v>
      </c>
      <c r="S91" s="31">
        <f t="shared" si="26"/>
        <v>0</v>
      </c>
      <c r="T91" s="31">
        <f t="shared" si="26"/>
        <v>0</v>
      </c>
      <c r="U91" s="31">
        <f t="shared" si="26"/>
        <v>0</v>
      </c>
      <c r="V91" s="31">
        <f t="shared" si="26"/>
        <v>0</v>
      </c>
      <c r="W91" s="31">
        <f t="shared" si="26"/>
        <v>0</v>
      </c>
      <c r="X91" s="31">
        <f t="shared" si="26"/>
        <v>0</v>
      </c>
      <c r="Y91" s="31">
        <f t="shared" si="26"/>
        <v>0</v>
      </c>
      <c r="Z91" s="31">
        <f t="shared" si="26"/>
        <v>0</v>
      </c>
      <c r="AA91" s="31">
        <f t="shared" si="26"/>
        <v>0</v>
      </c>
      <c r="AB91" s="31">
        <f t="shared" si="26"/>
        <v>0</v>
      </c>
      <c r="AC91" s="31">
        <f t="shared" si="26"/>
        <v>0</v>
      </c>
      <c r="AD91" s="31">
        <f t="shared" si="26"/>
        <v>0</v>
      </c>
      <c r="AE91" s="31">
        <f t="shared" si="26"/>
        <v>113608.76</v>
      </c>
      <c r="AF91" s="31">
        <f t="shared" si="26"/>
        <v>0</v>
      </c>
      <c r="AG91" s="31">
        <f t="shared" si="26"/>
        <v>0</v>
      </c>
      <c r="AH91" s="107" t="s">
        <v>915</v>
      </c>
      <c r="AI91" s="107" t="s">
        <v>915</v>
      </c>
      <c r="AJ91" s="107" t="s">
        <v>915</v>
      </c>
    </row>
    <row r="92" spans="1:36" ht="61.5" x14ac:dyDescent="0.85">
      <c r="A92" s="6">
        <v>1</v>
      </c>
      <c r="B92" s="66">
        <f>SUBTOTAL(103,$A$66:A92)</f>
        <v>24</v>
      </c>
      <c r="C92" s="109" t="s">
        <v>1465</v>
      </c>
      <c r="D92" s="72" t="s">
        <v>1440</v>
      </c>
      <c r="E92" s="69">
        <v>0.79441212856856191</v>
      </c>
      <c r="F92" s="31">
        <f t="shared" si="22"/>
        <v>5491611.8300000001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3">
        <v>0</v>
      </c>
      <c r="N92" s="31">
        <v>0</v>
      </c>
      <c r="O92" s="31">
        <v>1148</v>
      </c>
      <c r="P92" s="31">
        <v>5410455</v>
      </c>
      <c r="Q92" s="31">
        <v>0</v>
      </c>
      <c r="R92" s="31">
        <v>0</v>
      </c>
      <c r="S92" s="31">
        <v>0</v>
      </c>
      <c r="T92" s="110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f t="shared" ref="AE92:AE97" si="27">ROUND(P92*1.5%,2)</f>
        <v>81156.83</v>
      </c>
      <c r="AF92" s="31">
        <v>0</v>
      </c>
      <c r="AG92" s="31">
        <v>0</v>
      </c>
      <c r="AH92" s="107" t="s">
        <v>274</v>
      </c>
      <c r="AI92" s="107">
        <v>2020</v>
      </c>
      <c r="AJ92" s="107">
        <v>2020</v>
      </c>
    </row>
    <row r="93" spans="1:36" ht="61.5" x14ac:dyDescent="0.85">
      <c r="A93" s="6">
        <v>1</v>
      </c>
      <c r="B93" s="66">
        <f>SUBTOTAL(103,$A$66:A93)</f>
        <v>25</v>
      </c>
      <c r="C93" s="109" t="s">
        <v>1466</v>
      </c>
      <c r="D93" s="72" t="s">
        <v>1436</v>
      </c>
      <c r="E93" s="69">
        <v>0.77911652932310516</v>
      </c>
      <c r="F93" s="31">
        <f t="shared" si="22"/>
        <v>1854405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3">
        <v>0</v>
      </c>
      <c r="N93" s="31">
        <v>0</v>
      </c>
      <c r="O93" s="31">
        <v>812.5</v>
      </c>
      <c r="P93" s="31">
        <v>1827000</v>
      </c>
      <c r="Q93" s="31">
        <v>0</v>
      </c>
      <c r="R93" s="31">
        <v>0</v>
      </c>
      <c r="S93" s="31">
        <v>0</v>
      </c>
      <c r="T93" s="110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f t="shared" si="27"/>
        <v>27405</v>
      </c>
      <c r="AF93" s="31">
        <v>0</v>
      </c>
      <c r="AG93" s="31">
        <v>0</v>
      </c>
      <c r="AH93" s="107" t="s">
        <v>274</v>
      </c>
      <c r="AI93" s="107">
        <v>2020</v>
      </c>
      <c r="AJ93" s="107">
        <v>2020</v>
      </c>
    </row>
    <row r="94" spans="1:36" ht="61.5" x14ac:dyDescent="0.85">
      <c r="A94" s="6">
        <v>1</v>
      </c>
      <c r="B94" s="66">
        <f>SUBTOTAL(103,$A$66:A94)</f>
        <v>26</v>
      </c>
      <c r="C94" s="109" t="s">
        <v>1467</v>
      </c>
      <c r="D94" s="88" t="s">
        <v>1065</v>
      </c>
      <c r="E94" s="69">
        <v>0.64500000000000002</v>
      </c>
      <c r="F94" s="31">
        <f t="shared" si="22"/>
        <v>58266.54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3">
        <v>0</v>
      </c>
      <c r="N94" s="31">
        <v>0</v>
      </c>
      <c r="O94" s="31">
        <v>1240.56</v>
      </c>
      <c r="P94" s="110">
        <v>57405.46</v>
      </c>
      <c r="Q94" s="31">
        <v>0</v>
      </c>
      <c r="R94" s="31">
        <v>0</v>
      </c>
      <c r="S94" s="31">
        <v>0</v>
      </c>
      <c r="T94" s="110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f t="shared" si="27"/>
        <v>861.08</v>
      </c>
      <c r="AF94" s="31">
        <v>0</v>
      </c>
      <c r="AG94" s="31">
        <v>0</v>
      </c>
      <c r="AH94" s="107" t="s">
        <v>274</v>
      </c>
      <c r="AI94" s="107">
        <v>2020</v>
      </c>
      <c r="AJ94" s="107">
        <v>2020</v>
      </c>
    </row>
    <row r="95" spans="1:36" ht="61.5" x14ac:dyDescent="0.85">
      <c r="A95" s="6">
        <v>1</v>
      </c>
      <c r="B95" s="66">
        <f>SUBTOTAL(103,$A$66:A95)</f>
        <v>27</v>
      </c>
      <c r="C95" s="109" t="s">
        <v>1468</v>
      </c>
      <c r="D95" s="88" t="s">
        <v>1065</v>
      </c>
      <c r="E95" s="69">
        <v>0.88700000000000001</v>
      </c>
      <c r="F95" s="31">
        <f t="shared" si="22"/>
        <v>166460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3">
        <v>0</v>
      </c>
      <c r="N95" s="31">
        <v>0</v>
      </c>
      <c r="O95" s="31">
        <v>838</v>
      </c>
      <c r="P95" s="31">
        <v>164000</v>
      </c>
      <c r="Q95" s="31">
        <v>0</v>
      </c>
      <c r="R95" s="31">
        <v>0</v>
      </c>
      <c r="S95" s="31">
        <v>0</v>
      </c>
      <c r="T95" s="110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f t="shared" si="27"/>
        <v>2460</v>
      </c>
      <c r="AF95" s="31">
        <v>0</v>
      </c>
      <c r="AG95" s="31">
        <v>0</v>
      </c>
      <c r="AH95" s="107" t="s">
        <v>274</v>
      </c>
      <c r="AI95" s="107">
        <v>2020</v>
      </c>
      <c r="AJ95" s="107">
        <v>2020</v>
      </c>
    </row>
    <row r="96" spans="1:36" ht="61.5" x14ac:dyDescent="0.85">
      <c r="A96" s="6">
        <v>1</v>
      </c>
      <c r="B96" s="66">
        <f>SUBTOTAL(103,$A$66:A96)</f>
        <v>28</v>
      </c>
      <c r="C96" s="109" t="s">
        <v>1469</v>
      </c>
      <c r="D96" s="88" t="s">
        <v>1065</v>
      </c>
      <c r="E96" s="69">
        <v>0.78459999999999996</v>
      </c>
      <c r="F96" s="31">
        <f t="shared" si="22"/>
        <v>113945.93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3">
        <v>0</v>
      </c>
      <c r="N96" s="31">
        <v>0</v>
      </c>
      <c r="O96" s="31">
        <v>823.2</v>
      </c>
      <c r="P96" s="31">
        <v>112262</v>
      </c>
      <c r="Q96" s="31">
        <v>0</v>
      </c>
      <c r="R96" s="31">
        <v>0</v>
      </c>
      <c r="S96" s="31">
        <v>0</v>
      </c>
      <c r="T96" s="110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f t="shared" si="27"/>
        <v>1683.93</v>
      </c>
      <c r="AF96" s="31">
        <v>0</v>
      </c>
      <c r="AG96" s="31">
        <v>0</v>
      </c>
      <c r="AH96" s="107" t="s">
        <v>274</v>
      </c>
      <c r="AI96" s="107">
        <v>2020</v>
      </c>
      <c r="AJ96" s="107">
        <v>2020</v>
      </c>
    </row>
    <row r="97" spans="1:36" ht="61.5" x14ac:dyDescent="0.85">
      <c r="A97" s="6">
        <v>1</v>
      </c>
      <c r="B97" s="66">
        <f>SUBTOTAL(103,$A$66:A97)</f>
        <v>29</v>
      </c>
      <c r="C97" s="109" t="s">
        <v>1470</v>
      </c>
      <c r="D97" s="88" t="s">
        <v>1065</v>
      </c>
      <c r="E97" s="69">
        <v>0.70240000000000002</v>
      </c>
      <c r="F97" s="31">
        <f t="shared" si="22"/>
        <v>2836.7200000000003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3">
        <v>0</v>
      </c>
      <c r="N97" s="31">
        <v>0</v>
      </c>
      <c r="O97" s="31">
        <v>472</v>
      </c>
      <c r="P97" s="31">
        <v>2794.8</v>
      </c>
      <c r="Q97" s="31">
        <v>0</v>
      </c>
      <c r="R97" s="31">
        <v>0</v>
      </c>
      <c r="S97" s="31">
        <v>0</v>
      </c>
      <c r="T97" s="110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f t="shared" si="27"/>
        <v>41.92</v>
      </c>
      <c r="AF97" s="31">
        <v>0</v>
      </c>
      <c r="AG97" s="31">
        <v>0</v>
      </c>
      <c r="AH97" s="107" t="s">
        <v>274</v>
      </c>
      <c r="AI97" s="107">
        <v>2020</v>
      </c>
      <c r="AJ97" s="107">
        <v>2020</v>
      </c>
    </row>
    <row r="98" spans="1:36" ht="62.25" x14ac:dyDescent="0.9">
      <c r="B98" s="133" t="s">
        <v>847</v>
      </c>
      <c r="C98" s="134"/>
      <c r="D98" s="108" t="s">
        <v>915</v>
      </c>
      <c r="E98" s="69">
        <f>AVERAGE(E99:E102)</f>
        <v>0.6400023136337607</v>
      </c>
      <c r="F98" s="31">
        <f>SUM(F99:F102)</f>
        <v>3993831.15</v>
      </c>
      <c r="G98" s="31">
        <f t="shared" ref="G98:AG98" si="28">SUM(G99:G102)</f>
        <v>0</v>
      </c>
      <c r="H98" s="31">
        <f t="shared" si="28"/>
        <v>0</v>
      </c>
      <c r="I98" s="31">
        <f t="shared" si="28"/>
        <v>0</v>
      </c>
      <c r="J98" s="31">
        <f t="shared" si="28"/>
        <v>0</v>
      </c>
      <c r="K98" s="31">
        <f t="shared" si="28"/>
        <v>0</v>
      </c>
      <c r="L98" s="31">
        <f t="shared" si="28"/>
        <v>0</v>
      </c>
      <c r="M98" s="33">
        <f t="shared" si="28"/>
        <v>0</v>
      </c>
      <c r="N98" s="31">
        <f t="shared" si="28"/>
        <v>0</v>
      </c>
      <c r="O98" s="31">
        <f t="shared" si="28"/>
        <v>1984</v>
      </c>
      <c r="P98" s="31">
        <f t="shared" si="28"/>
        <v>3934809.02</v>
      </c>
      <c r="Q98" s="31">
        <f t="shared" si="28"/>
        <v>0</v>
      </c>
      <c r="R98" s="31">
        <f t="shared" si="28"/>
        <v>0</v>
      </c>
      <c r="S98" s="31">
        <f t="shared" si="28"/>
        <v>0</v>
      </c>
      <c r="T98" s="31">
        <f t="shared" si="28"/>
        <v>0</v>
      </c>
      <c r="U98" s="31">
        <f t="shared" si="28"/>
        <v>0</v>
      </c>
      <c r="V98" s="31">
        <f t="shared" si="28"/>
        <v>0</v>
      </c>
      <c r="W98" s="31">
        <f t="shared" si="28"/>
        <v>0</v>
      </c>
      <c r="X98" s="31">
        <f t="shared" si="28"/>
        <v>0</v>
      </c>
      <c r="Y98" s="31">
        <f t="shared" si="28"/>
        <v>0</v>
      </c>
      <c r="Z98" s="31">
        <f t="shared" si="28"/>
        <v>0</v>
      </c>
      <c r="AA98" s="31">
        <f t="shared" si="28"/>
        <v>0</v>
      </c>
      <c r="AB98" s="31">
        <f t="shared" si="28"/>
        <v>0</v>
      </c>
      <c r="AC98" s="31">
        <f t="shared" si="28"/>
        <v>0</v>
      </c>
      <c r="AD98" s="31">
        <f t="shared" si="28"/>
        <v>0</v>
      </c>
      <c r="AE98" s="31">
        <f t="shared" si="28"/>
        <v>59022.13</v>
      </c>
      <c r="AF98" s="31">
        <f t="shared" si="28"/>
        <v>0</v>
      </c>
      <c r="AG98" s="31">
        <f t="shared" si="28"/>
        <v>0</v>
      </c>
      <c r="AH98" s="107" t="s">
        <v>915</v>
      </c>
      <c r="AI98" s="107" t="s">
        <v>915</v>
      </c>
      <c r="AJ98" s="107" t="s">
        <v>915</v>
      </c>
    </row>
    <row r="99" spans="1:36" ht="61.5" x14ac:dyDescent="0.85">
      <c r="A99" s="6">
        <v>1</v>
      </c>
      <c r="B99" s="66">
        <f>SUBTOTAL(103,$A$66:A99)</f>
        <v>30</v>
      </c>
      <c r="C99" s="109" t="s">
        <v>1471</v>
      </c>
      <c r="D99" s="88" t="s">
        <v>1066</v>
      </c>
      <c r="E99" s="69">
        <v>0.4062203289705193</v>
      </c>
      <c r="F99" s="31">
        <f t="shared" si="22"/>
        <v>58593.41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3">
        <v>0</v>
      </c>
      <c r="N99" s="31">
        <v>0</v>
      </c>
      <c r="O99" s="112">
        <v>412</v>
      </c>
      <c r="P99" s="31">
        <v>57727.5</v>
      </c>
      <c r="Q99" s="31">
        <v>0</v>
      </c>
      <c r="R99" s="31">
        <v>0</v>
      </c>
      <c r="S99" s="31">
        <v>0</v>
      </c>
      <c r="T99" s="110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f>ROUND(P99*1.5%,2)</f>
        <v>865.91</v>
      </c>
      <c r="AF99" s="31">
        <v>0</v>
      </c>
      <c r="AG99" s="31">
        <v>0</v>
      </c>
      <c r="AH99" s="107" t="s">
        <v>274</v>
      </c>
      <c r="AI99" s="107">
        <v>2020</v>
      </c>
      <c r="AJ99" s="107">
        <v>2020</v>
      </c>
    </row>
    <row r="100" spans="1:36" ht="61.5" x14ac:dyDescent="0.85">
      <c r="A100" s="6">
        <v>1</v>
      </c>
      <c r="B100" s="66">
        <f>SUBTOTAL(103,$A$66:A100)</f>
        <v>31</v>
      </c>
      <c r="C100" s="109" t="s">
        <v>1472</v>
      </c>
      <c r="D100" s="72" t="s">
        <v>1069</v>
      </c>
      <c r="E100" s="69">
        <v>0.69908892556452351</v>
      </c>
      <c r="F100" s="31">
        <f t="shared" si="22"/>
        <v>15225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3">
        <v>0</v>
      </c>
      <c r="N100" s="31">
        <v>0</v>
      </c>
      <c r="O100" s="31">
        <v>508</v>
      </c>
      <c r="P100" s="31">
        <v>15000</v>
      </c>
      <c r="Q100" s="31">
        <v>0</v>
      </c>
      <c r="R100" s="31">
        <v>0</v>
      </c>
      <c r="S100" s="31">
        <v>0</v>
      </c>
      <c r="T100" s="110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f>ROUND(P100*1.5%,2)</f>
        <v>225</v>
      </c>
      <c r="AF100" s="31">
        <v>0</v>
      </c>
      <c r="AG100" s="31">
        <v>0</v>
      </c>
      <c r="AH100" s="107" t="s">
        <v>274</v>
      </c>
      <c r="AI100" s="107">
        <v>2020</v>
      </c>
      <c r="AJ100" s="107">
        <v>2020</v>
      </c>
    </row>
    <row r="101" spans="1:36" ht="61.5" x14ac:dyDescent="0.85">
      <c r="A101" s="6">
        <v>1</v>
      </c>
      <c r="B101" s="66">
        <f>SUBTOTAL(103,$A$66:A101)</f>
        <v>32</v>
      </c>
      <c r="C101" s="109" t="s">
        <v>1473</v>
      </c>
      <c r="D101" s="88" t="s">
        <v>1065</v>
      </c>
      <c r="E101" s="69">
        <v>0.53310000000000002</v>
      </c>
      <c r="F101" s="31">
        <f t="shared" si="22"/>
        <v>3869092.71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3">
        <v>0</v>
      </c>
      <c r="N101" s="31">
        <v>0</v>
      </c>
      <c r="O101" s="31">
        <v>730</v>
      </c>
      <c r="P101" s="31">
        <v>3811914</v>
      </c>
      <c r="Q101" s="31">
        <v>0</v>
      </c>
      <c r="R101" s="31">
        <v>0</v>
      </c>
      <c r="S101" s="31">
        <v>0</v>
      </c>
      <c r="T101" s="110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f>ROUND(P101*1.5%,2)</f>
        <v>57178.71</v>
      </c>
      <c r="AF101" s="31">
        <v>0</v>
      </c>
      <c r="AG101" s="31">
        <v>0</v>
      </c>
      <c r="AH101" s="107" t="s">
        <v>274</v>
      </c>
      <c r="AI101" s="107">
        <v>2020</v>
      </c>
      <c r="AJ101" s="107">
        <v>2020</v>
      </c>
    </row>
    <row r="102" spans="1:36" ht="61.5" x14ac:dyDescent="0.85">
      <c r="A102" s="6">
        <v>1</v>
      </c>
      <c r="B102" s="66">
        <f>SUBTOTAL(103,$A$66:A102)</f>
        <v>33</v>
      </c>
      <c r="C102" s="109" t="s">
        <v>1474</v>
      </c>
      <c r="D102" s="88" t="s">
        <v>1434</v>
      </c>
      <c r="E102" s="69">
        <v>0.92159999999999997</v>
      </c>
      <c r="F102" s="31">
        <f t="shared" si="22"/>
        <v>50920.03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3">
        <v>0</v>
      </c>
      <c r="N102" s="31">
        <v>0</v>
      </c>
      <c r="O102" s="31">
        <v>334</v>
      </c>
      <c r="P102" s="31">
        <v>50167.519999999997</v>
      </c>
      <c r="Q102" s="31">
        <v>0</v>
      </c>
      <c r="R102" s="31">
        <v>0</v>
      </c>
      <c r="S102" s="31">
        <v>0</v>
      </c>
      <c r="T102" s="110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f>ROUND(P102*1.5%,2)</f>
        <v>752.51</v>
      </c>
      <c r="AF102" s="31">
        <v>0</v>
      </c>
      <c r="AG102" s="31">
        <v>0</v>
      </c>
      <c r="AH102" s="107" t="s">
        <v>274</v>
      </c>
      <c r="AI102" s="107">
        <v>2020</v>
      </c>
      <c r="AJ102" s="107">
        <v>2020</v>
      </c>
    </row>
    <row r="103" spans="1:36" ht="62.25" x14ac:dyDescent="0.9">
      <c r="B103" s="133" t="s">
        <v>785</v>
      </c>
      <c r="C103" s="134"/>
      <c r="D103" s="108" t="s">
        <v>915</v>
      </c>
      <c r="E103" s="69">
        <f>AVERAGE(E104:E129)</f>
        <v>0.86673544402046887</v>
      </c>
      <c r="F103" s="31">
        <f t="shared" ref="F103:AG103" si="29">SUM(F104:F129)</f>
        <v>9209002.0300000031</v>
      </c>
      <c r="G103" s="31">
        <f t="shared" si="29"/>
        <v>7510</v>
      </c>
      <c r="H103" s="31">
        <f t="shared" si="29"/>
        <v>0</v>
      </c>
      <c r="I103" s="31">
        <f t="shared" si="29"/>
        <v>0</v>
      </c>
      <c r="J103" s="31">
        <f t="shared" si="29"/>
        <v>0</v>
      </c>
      <c r="K103" s="31">
        <f t="shared" si="29"/>
        <v>265366.61</v>
      </c>
      <c r="L103" s="31">
        <f t="shared" si="29"/>
        <v>0</v>
      </c>
      <c r="M103" s="33">
        <f t="shared" si="29"/>
        <v>0</v>
      </c>
      <c r="N103" s="31">
        <f t="shared" si="29"/>
        <v>0</v>
      </c>
      <c r="O103" s="31">
        <f t="shared" si="29"/>
        <v>16875.54</v>
      </c>
      <c r="P103" s="31">
        <f t="shared" si="29"/>
        <v>8138016.9800000004</v>
      </c>
      <c r="Q103" s="31">
        <f t="shared" si="29"/>
        <v>0</v>
      </c>
      <c r="R103" s="31">
        <f t="shared" si="29"/>
        <v>0</v>
      </c>
      <c r="S103" s="31">
        <f t="shared" si="29"/>
        <v>5134.45</v>
      </c>
      <c r="T103" s="31">
        <f t="shared" si="29"/>
        <v>662014.80000000005</v>
      </c>
      <c r="U103" s="31">
        <f t="shared" si="29"/>
        <v>0</v>
      </c>
      <c r="V103" s="31">
        <f t="shared" si="29"/>
        <v>0</v>
      </c>
      <c r="W103" s="31">
        <f t="shared" si="29"/>
        <v>0</v>
      </c>
      <c r="X103" s="31">
        <f t="shared" si="29"/>
        <v>0</v>
      </c>
      <c r="Y103" s="31">
        <f t="shared" si="29"/>
        <v>0</v>
      </c>
      <c r="Z103" s="31">
        <f t="shared" si="29"/>
        <v>0</v>
      </c>
      <c r="AA103" s="31">
        <f t="shared" si="29"/>
        <v>0</v>
      </c>
      <c r="AB103" s="31">
        <f t="shared" si="29"/>
        <v>0</v>
      </c>
      <c r="AC103" s="31">
        <f t="shared" si="29"/>
        <v>0</v>
      </c>
      <c r="AD103" s="31">
        <f t="shared" si="29"/>
        <v>0</v>
      </c>
      <c r="AE103" s="31">
        <f t="shared" si="29"/>
        <v>136093.63999999998</v>
      </c>
      <c r="AF103" s="31">
        <f t="shared" si="29"/>
        <v>0</v>
      </c>
      <c r="AG103" s="31">
        <f t="shared" si="29"/>
        <v>0</v>
      </c>
      <c r="AH103" s="107" t="s">
        <v>915</v>
      </c>
      <c r="AI103" s="107" t="s">
        <v>915</v>
      </c>
      <c r="AJ103" s="107" t="s">
        <v>915</v>
      </c>
    </row>
    <row r="104" spans="1:36" ht="61.5" x14ac:dyDescent="0.85">
      <c r="A104" s="6">
        <v>1</v>
      </c>
      <c r="B104" s="66">
        <f>SUBTOTAL(103,$A$66:A104)</f>
        <v>34</v>
      </c>
      <c r="C104" s="109" t="s">
        <v>1475</v>
      </c>
      <c r="D104" s="72" t="s">
        <v>1066</v>
      </c>
      <c r="E104" s="69">
        <v>0.87120114478643584</v>
      </c>
      <c r="F104" s="31">
        <f t="shared" si="22"/>
        <v>15597.11</v>
      </c>
      <c r="G104" s="31">
        <v>0</v>
      </c>
      <c r="H104" s="31">
        <v>0</v>
      </c>
      <c r="I104" s="31">
        <v>0</v>
      </c>
      <c r="J104" s="31">
        <v>0</v>
      </c>
      <c r="K104" s="31">
        <v>15366.61</v>
      </c>
      <c r="L104" s="31">
        <v>0</v>
      </c>
      <c r="M104" s="33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110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f>ROUND(K104*1.5%,2)</f>
        <v>230.5</v>
      </c>
      <c r="AF104" s="31">
        <v>0</v>
      </c>
      <c r="AG104" s="31">
        <v>0</v>
      </c>
      <c r="AH104" s="107" t="s">
        <v>274</v>
      </c>
      <c r="AI104" s="107">
        <v>2020</v>
      </c>
      <c r="AJ104" s="107">
        <v>2020</v>
      </c>
    </row>
    <row r="105" spans="1:36" ht="61.5" x14ac:dyDescent="0.85">
      <c r="A105" s="6">
        <v>1</v>
      </c>
      <c r="B105" s="66">
        <f>SUBTOTAL(103,$A$66:A105)</f>
        <v>35</v>
      </c>
      <c r="C105" s="109" t="s">
        <v>1476</v>
      </c>
      <c r="D105" s="72" t="s">
        <v>1065</v>
      </c>
      <c r="E105" s="69">
        <v>0.88725132075072177</v>
      </c>
      <c r="F105" s="31">
        <f t="shared" si="22"/>
        <v>2283750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3">
        <v>0</v>
      </c>
      <c r="N105" s="31">
        <v>0</v>
      </c>
      <c r="O105" s="31">
        <v>1600</v>
      </c>
      <c r="P105" s="31">
        <v>2250000</v>
      </c>
      <c r="Q105" s="31">
        <v>0</v>
      </c>
      <c r="R105" s="31">
        <v>0</v>
      </c>
      <c r="S105" s="31">
        <v>0</v>
      </c>
      <c r="T105" s="110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f t="shared" ref="AE105:AE112" si="30">ROUND(P105*1.5%,2)</f>
        <v>33750</v>
      </c>
      <c r="AF105" s="31">
        <v>0</v>
      </c>
      <c r="AG105" s="31">
        <v>0</v>
      </c>
      <c r="AH105" s="107" t="s">
        <v>274</v>
      </c>
      <c r="AI105" s="107">
        <v>2020</v>
      </c>
      <c r="AJ105" s="107">
        <v>2020</v>
      </c>
    </row>
    <row r="106" spans="1:36" ht="61.5" x14ac:dyDescent="0.85">
      <c r="A106" s="6">
        <v>1</v>
      </c>
      <c r="B106" s="66">
        <f>SUBTOTAL(103,$A$66:A106)</f>
        <v>36</v>
      </c>
      <c r="C106" s="109" t="s">
        <v>1477</v>
      </c>
      <c r="D106" s="72" t="s">
        <v>1065</v>
      </c>
      <c r="E106" s="69">
        <v>0.86073469797958557</v>
      </c>
      <c r="F106" s="31">
        <f t="shared" si="22"/>
        <v>510545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3">
        <v>0</v>
      </c>
      <c r="N106" s="31">
        <v>0</v>
      </c>
      <c r="O106" s="31">
        <v>824.88</v>
      </c>
      <c r="P106" s="31">
        <v>503000</v>
      </c>
      <c r="Q106" s="31">
        <v>0</v>
      </c>
      <c r="R106" s="31">
        <v>0</v>
      </c>
      <c r="S106" s="31">
        <v>0</v>
      </c>
      <c r="T106" s="110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f t="shared" si="30"/>
        <v>7545</v>
      </c>
      <c r="AF106" s="31">
        <v>0</v>
      </c>
      <c r="AG106" s="31">
        <v>0</v>
      </c>
      <c r="AH106" s="107" t="s">
        <v>274</v>
      </c>
      <c r="AI106" s="107">
        <v>2020</v>
      </c>
      <c r="AJ106" s="107">
        <v>2020</v>
      </c>
    </row>
    <row r="107" spans="1:36" ht="61.5" x14ac:dyDescent="0.85">
      <c r="A107" s="6">
        <v>1</v>
      </c>
      <c r="B107" s="66">
        <f>SUBTOTAL(103,$A$66:A107)</f>
        <v>37</v>
      </c>
      <c r="C107" s="109" t="s">
        <v>1478</v>
      </c>
      <c r="D107" s="88" t="s">
        <v>1064</v>
      </c>
      <c r="E107" s="69">
        <v>0.94940000000000002</v>
      </c>
      <c r="F107" s="31">
        <f t="shared" si="22"/>
        <v>468233.13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3">
        <v>0</v>
      </c>
      <c r="N107" s="31">
        <v>0</v>
      </c>
      <c r="O107" s="31">
        <v>477.6</v>
      </c>
      <c r="P107" s="31">
        <v>461313.43</v>
      </c>
      <c r="Q107" s="31">
        <v>0</v>
      </c>
      <c r="R107" s="31">
        <v>0</v>
      </c>
      <c r="S107" s="31">
        <v>0</v>
      </c>
      <c r="T107" s="110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f t="shared" si="30"/>
        <v>6919.7</v>
      </c>
      <c r="AF107" s="31">
        <v>0</v>
      </c>
      <c r="AG107" s="31">
        <v>0</v>
      </c>
      <c r="AH107" s="107" t="s">
        <v>274</v>
      </c>
      <c r="AI107" s="107">
        <v>2020</v>
      </c>
      <c r="AJ107" s="107">
        <v>2020</v>
      </c>
    </row>
    <row r="108" spans="1:36" ht="61.5" x14ac:dyDescent="0.85">
      <c r="A108" s="6">
        <v>1</v>
      </c>
      <c r="B108" s="66">
        <f>SUBTOTAL(103,$A$66:A108)</f>
        <v>38</v>
      </c>
      <c r="C108" s="109" t="s">
        <v>1479</v>
      </c>
      <c r="D108" s="88" t="s">
        <v>1069</v>
      </c>
      <c r="E108" s="69">
        <v>0.50380000000000003</v>
      </c>
      <c r="F108" s="31">
        <f t="shared" si="22"/>
        <v>450205.28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3">
        <v>0</v>
      </c>
      <c r="N108" s="31">
        <v>0</v>
      </c>
      <c r="O108" s="31">
        <v>1104</v>
      </c>
      <c r="P108" s="31">
        <v>443552</v>
      </c>
      <c r="Q108" s="31">
        <v>0</v>
      </c>
      <c r="R108" s="31">
        <v>0</v>
      </c>
      <c r="S108" s="31">
        <v>0</v>
      </c>
      <c r="T108" s="110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f t="shared" si="30"/>
        <v>6653.28</v>
      </c>
      <c r="AF108" s="31">
        <v>0</v>
      </c>
      <c r="AG108" s="31">
        <v>0</v>
      </c>
      <c r="AH108" s="107" t="s">
        <v>274</v>
      </c>
      <c r="AI108" s="107">
        <v>2020</v>
      </c>
      <c r="AJ108" s="107">
        <v>2020</v>
      </c>
    </row>
    <row r="109" spans="1:36" ht="61.5" x14ac:dyDescent="0.85">
      <c r="A109" s="6">
        <v>1</v>
      </c>
      <c r="B109" s="66">
        <f>SUBTOTAL(103,$A$66:A109)</f>
        <v>39</v>
      </c>
      <c r="C109" s="109" t="s">
        <v>1480</v>
      </c>
      <c r="D109" s="88" t="s">
        <v>1435</v>
      </c>
      <c r="E109" s="69">
        <v>0.97430000000000005</v>
      </c>
      <c r="F109" s="31">
        <f t="shared" si="22"/>
        <v>66602.679999999993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3">
        <v>0</v>
      </c>
      <c r="N109" s="31">
        <v>0</v>
      </c>
      <c r="O109" s="31">
        <v>775</v>
      </c>
      <c r="P109" s="31">
        <v>65618.399999999994</v>
      </c>
      <c r="Q109" s="31">
        <v>0</v>
      </c>
      <c r="R109" s="31">
        <v>0</v>
      </c>
      <c r="S109" s="31">
        <v>0</v>
      </c>
      <c r="T109" s="110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f t="shared" si="30"/>
        <v>984.28</v>
      </c>
      <c r="AF109" s="31">
        <v>0</v>
      </c>
      <c r="AG109" s="31">
        <v>0</v>
      </c>
      <c r="AH109" s="107" t="s">
        <v>274</v>
      </c>
      <c r="AI109" s="107">
        <v>2020</v>
      </c>
      <c r="AJ109" s="107">
        <v>2020</v>
      </c>
    </row>
    <row r="110" spans="1:36" ht="61.5" x14ac:dyDescent="0.85">
      <c r="A110" s="6">
        <v>1</v>
      </c>
      <c r="B110" s="66">
        <f>SUBTOTAL(103,$A$66:A110)</f>
        <v>40</v>
      </c>
      <c r="C110" s="109" t="s">
        <v>1481</v>
      </c>
      <c r="D110" s="88" t="s">
        <v>1065</v>
      </c>
      <c r="E110" s="69">
        <v>0.93600000000000005</v>
      </c>
      <c r="F110" s="31">
        <f t="shared" si="22"/>
        <v>1522500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3">
        <v>0</v>
      </c>
      <c r="N110" s="31">
        <v>0</v>
      </c>
      <c r="O110" s="31">
        <v>1110</v>
      </c>
      <c r="P110" s="31">
        <v>1500000</v>
      </c>
      <c r="Q110" s="31">
        <v>0</v>
      </c>
      <c r="R110" s="31">
        <v>0</v>
      </c>
      <c r="S110" s="31">
        <v>0</v>
      </c>
      <c r="T110" s="110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f t="shared" si="30"/>
        <v>22500</v>
      </c>
      <c r="AF110" s="31">
        <v>0</v>
      </c>
      <c r="AG110" s="31">
        <v>0</v>
      </c>
      <c r="AH110" s="107" t="s">
        <v>274</v>
      </c>
      <c r="AI110" s="107">
        <v>2020</v>
      </c>
      <c r="AJ110" s="107">
        <v>2020</v>
      </c>
    </row>
    <row r="111" spans="1:36" ht="61.5" x14ac:dyDescent="0.85">
      <c r="A111" s="6">
        <v>1</v>
      </c>
      <c r="B111" s="66">
        <f>SUBTOTAL(103,$A$66:A111)</f>
        <v>41</v>
      </c>
      <c r="C111" s="109" t="s">
        <v>1482</v>
      </c>
      <c r="D111" s="88" t="s">
        <v>1065</v>
      </c>
      <c r="E111" s="69">
        <v>0.91669999999999996</v>
      </c>
      <c r="F111" s="31">
        <f t="shared" si="22"/>
        <v>116725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3">
        <v>0</v>
      </c>
      <c r="N111" s="31">
        <v>0</v>
      </c>
      <c r="O111" s="31">
        <v>1586.2</v>
      </c>
      <c r="P111" s="31">
        <v>115000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f t="shared" si="30"/>
        <v>1725</v>
      </c>
      <c r="AF111" s="31">
        <v>0</v>
      </c>
      <c r="AG111" s="31">
        <v>0</v>
      </c>
      <c r="AH111" s="107" t="s">
        <v>274</v>
      </c>
      <c r="AI111" s="107">
        <v>2020</v>
      </c>
      <c r="AJ111" s="107">
        <v>2020</v>
      </c>
    </row>
    <row r="112" spans="1:36" ht="61.5" x14ac:dyDescent="0.85">
      <c r="A112" s="6">
        <v>1</v>
      </c>
      <c r="B112" s="66">
        <f>SUBTOTAL(103,$A$66:A112)</f>
        <v>42</v>
      </c>
      <c r="C112" s="109" t="s">
        <v>1483</v>
      </c>
      <c r="D112" s="88" t="s">
        <v>1065</v>
      </c>
      <c r="E112" s="69">
        <v>0.87539999999999996</v>
      </c>
      <c r="F112" s="31">
        <f t="shared" si="22"/>
        <v>67681.820000000007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3">
        <v>0</v>
      </c>
      <c r="N112" s="31">
        <v>0</v>
      </c>
      <c r="O112" s="31">
        <v>711</v>
      </c>
      <c r="P112" s="31">
        <v>66681.600000000006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f t="shared" si="30"/>
        <v>1000.22</v>
      </c>
      <c r="AF112" s="31">
        <v>0</v>
      </c>
      <c r="AG112" s="31">
        <v>0</v>
      </c>
      <c r="AH112" s="107" t="s">
        <v>274</v>
      </c>
      <c r="AI112" s="107">
        <v>2020</v>
      </c>
      <c r="AJ112" s="107">
        <v>2020</v>
      </c>
    </row>
    <row r="113" spans="1:36" ht="61.5" x14ac:dyDescent="0.85">
      <c r="A113" s="6">
        <v>1</v>
      </c>
      <c r="B113" s="66">
        <f>SUBTOTAL(103,$A$66:A113)</f>
        <v>43</v>
      </c>
      <c r="C113" s="109" t="s">
        <v>1484</v>
      </c>
      <c r="D113" s="88" t="s">
        <v>1068</v>
      </c>
      <c r="E113" s="69">
        <v>0.86950000000000005</v>
      </c>
      <c r="F113" s="31">
        <f t="shared" si="22"/>
        <v>253750</v>
      </c>
      <c r="G113" s="31">
        <v>0</v>
      </c>
      <c r="H113" s="31">
        <v>0</v>
      </c>
      <c r="I113" s="31">
        <v>0</v>
      </c>
      <c r="J113" s="31">
        <v>0</v>
      </c>
      <c r="K113" s="31">
        <v>250000</v>
      </c>
      <c r="L113" s="31">
        <v>0</v>
      </c>
      <c r="M113" s="33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f>ROUND(K113*1.5%,2)</f>
        <v>3750</v>
      </c>
      <c r="AF113" s="31">
        <v>0</v>
      </c>
      <c r="AG113" s="31">
        <v>0</v>
      </c>
      <c r="AH113" s="107" t="s">
        <v>274</v>
      </c>
      <c r="AI113" s="107">
        <v>2020</v>
      </c>
      <c r="AJ113" s="107">
        <v>2020</v>
      </c>
    </row>
    <row r="114" spans="1:36" ht="61.5" x14ac:dyDescent="0.85">
      <c r="A114" s="6">
        <v>1</v>
      </c>
      <c r="B114" s="66">
        <f>SUBTOTAL(103,$A$66:A114)</f>
        <v>44</v>
      </c>
      <c r="C114" s="109" t="s">
        <v>1485</v>
      </c>
      <c r="D114" s="88" t="s">
        <v>1436</v>
      </c>
      <c r="E114" s="69">
        <v>0.94930000000000003</v>
      </c>
      <c r="F114" s="31">
        <f t="shared" si="22"/>
        <v>48136.38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3">
        <v>0</v>
      </c>
      <c r="N114" s="31">
        <v>0</v>
      </c>
      <c r="O114" s="31">
        <v>649.79999999999995</v>
      </c>
      <c r="P114" s="31">
        <v>47425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f>ROUND(P114*1.5%,2)</f>
        <v>711.38</v>
      </c>
      <c r="AF114" s="31">
        <v>0</v>
      </c>
      <c r="AG114" s="31">
        <v>0</v>
      </c>
      <c r="AH114" s="107" t="s">
        <v>274</v>
      </c>
      <c r="AI114" s="107">
        <v>2020</v>
      </c>
      <c r="AJ114" s="107">
        <v>2020</v>
      </c>
    </row>
    <row r="115" spans="1:36" ht="61.5" x14ac:dyDescent="0.85">
      <c r="A115" s="6">
        <v>1</v>
      </c>
      <c r="B115" s="66">
        <f>SUBTOTAL(103,$A$66:A115)</f>
        <v>45</v>
      </c>
      <c r="C115" s="109" t="s">
        <v>1486</v>
      </c>
      <c r="D115" s="88" t="s">
        <v>1065</v>
      </c>
      <c r="E115" s="69">
        <v>0.79333438101544396</v>
      </c>
      <c r="F115" s="31">
        <f t="shared" si="22"/>
        <v>1182149.27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3">
        <v>0</v>
      </c>
      <c r="N115" s="31">
        <v>0</v>
      </c>
      <c r="O115" s="31">
        <v>1265</v>
      </c>
      <c r="P115" s="31">
        <v>1164679.08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f>ROUND(P115*1.5%,2)</f>
        <v>17470.189999999999</v>
      </c>
      <c r="AF115" s="31">
        <v>0</v>
      </c>
      <c r="AG115" s="31">
        <v>0</v>
      </c>
      <c r="AH115" s="107" t="s">
        <v>274</v>
      </c>
      <c r="AI115" s="107">
        <v>2020</v>
      </c>
      <c r="AJ115" s="107">
        <v>2020</v>
      </c>
    </row>
    <row r="116" spans="1:36" ht="61.5" x14ac:dyDescent="0.85">
      <c r="A116" s="6">
        <v>1</v>
      </c>
      <c r="B116" s="66">
        <f>SUBTOTAL(103,$A$66:A116)</f>
        <v>46</v>
      </c>
      <c r="C116" s="109" t="s">
        <v>1487</v>
      </c>
      <c r="D116" s="88" t="s">
        <v>1069</v>
      </c>
      <c r="E116" s="69">
        <v>0.91920000000000002</v>
      </c>
      <c r="F116" s="31">
        <f t="shared" si="22"/>
        <v>212532.16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3">
        <v>0</v>
      </c>
      <c r="N116" s="31">
        <v>0</v>
      </c>
      <c r="O116" s="31">
        <v>1166</v>
      </c>
      <c r="P116" s="31">
        <v>209391.29</v>
      </c>
      <c r="Q116" s="31">
        <v>0</v>
      </c>
      <c r="R116" s="31">
        <v>0</v>
      </c>
      <c r="S116" s="31">
        <v>0</v>
      </c>
      <c r="T116" s="110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f>ROUND(P116*1.5%,2)</f>
        <v>3140.87</v>
      </c>
      <c r="AF116" s="31">
        <v>0</v>
      </c>
      <c r="AG116" s="31">
        <v>0</v>
      </c>
      <c r="AH116" s="107" t="s">
        <v>274</v>
      </c>
      <c r="AI116" s="107">
        <v>2020</v>
      </c>
      <c r="AJ116" s="107">
        <v>2020</v>
      </c>
    </row>
    <row r="117" spans="1:36" ht="61.5" x14ac:dyDescent="0.85">
      <c r="A117" s="6">
        <v>1</v>
      </c>
      <c r="B117" s="66">
        <f>SUBTOTAL(103,$A$66:A117)</f>
        <v>47</v>
      </c>
      <c r="C117" s="109" t="s">
        <v>1488</v>
      </c>
      <c r="D117" s="88" t="s">
        <v>1065</v>
      </c>
      <c r="E117" s="69">
        <v>0.80210000000000004</v>
      </c>
      <c r="F117" s="31">
        <f t="shared" si="22"/>
        <v>69345.69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3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276.85000000000002</v>
      </c>
      <c r="T117" s="31">
        <v>68320.88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f>ROUND(T117*1.5%,2)</f>
        <v>1024.81</v>
      </c>
      <c r="AF117" s="31">
        <v>0</v>
      </c>
      <c r="AG117" s="31">
        <v>0</v>
      </c>
      <c r="AH117" s="107" t="s">
        <v>274</v>
      </c>
      <c r="AI117" s="107">
        <v>2020</v>
      </c>
      <c r="AJ117" s="107">
        <v>2020</v>
      </c>
    </row>
    <row r="118" spans="1:36" ht="61.5" x14ac:dyDescent="0.85">
      <c r="A118" s="6">
        <v>1</v>
      </c>
      <c r="B118" s="66">
        <f>SUBTOTAL(103,$A$66:A118)</f>
        <v>48</v>
      </c>
      <c r="C118" s="109" t="s">
        <v>1489</v>
      </c>
      <c r="D118" s="88" t="s">
        <v>1069</v>
      </c>
      <c r="E118" s="69">
        <v>0.67430000000000001</v>
      </c>
      <c r="F118" s="31">
        <f t="shared" si="22"/>
        <v>8410.2900000000009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3">
        <v>0</v>
      </c>
      <c r="N118" s="31">
        <v>0</v>
      </c>
      <c r="O118" s="31">
        <v>583</v>
      </c>
      <c r="P118" s="31">
        <v>8286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f>ROUND(P118*1.5%,2)</f>
        <v>124.29</v>
      </c>
      <c r="AF118" s="31">
        <v>0</v>
      </c>
      <c r="AG118" s="31">
        <v>0</v>
      </c>
      <c r="AH118" s="107" t="s">
        <v>274</v>
      </c>
      <c r="AI118" s="107">
        <v>2020</v>
      </c>
      <c r="AJ118" s="107">
        <v>2020</v>
      </c>
    </row>
    <row r="119" spans="1:36" ht="61.5" x14ac:dyDescent="0.85">
      <c r="A119" s="6">
        <v>1</v>
      </c>
      <c r="B119" s="66">
        <f>SUBTOTAL(103,$A$66:A119)</f>
        <v>49</v>
      </c>
      <c r="C119" s="109" t="s">
        <v>1490</v>
      </c>
      <c r="D119" s="88" t="s">
        <v>1442</v>
      </c>
      <c r="E119" s="69">
        <v>0.90800000000000003</v>
      </c>
      <c r="F119" s="31">
        <f t="shared" si="22"/>
        <v>7622.65</v>
      </c>
      <c r="G119" s="31">
        <v>7510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3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f>ROUND(G119*1.5%,2)</f>
        <v>112.65</v>
      </c>
      <c r="AF119" s="31">
        <v>0</v>
      </c>
      <c r="AG119" s="31">
        <v>0</v>
      </c>
      <c r="AH119" s="107" t="s">
        <v>274</v>
      </c>
      <c r="AI119" s="107">
        <v>2020</v>
      </c>
      <c r="AJ119" s="107">
        <v>2020</v>
      </c>
    </row>
    <row r="120" spans="1:36" ht="61.5" x14ac:dyDescent="0.85">
      <c r="A120" s="6">
        <v>1</v>
      </c>
      <c r="B120" s="66">
        <f>SUBTOTAL(103,$A$66:A120)</f>
        <v>50</v>
      </c>
      <c r="C120" s="109" t="s">
        <v>1491</v>
      </c>
      <c r="D120" s="88" t="s">
        <v>1066</v>
      </c>
      <c r="E120" s="69">
        <v>0.98829999999999996</v>
      </c>
      <c r="F120" s="31">
        <f t="shared" si="22"/>
        <v>52780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3">
        <v>0</v>
      </c>
      <c r="N120" s="31">
        <v>0</v>
      </c>
      <c r="O120" s="31">
        <v>284.39999999999998</v>
      </c>
      <c r="P120" s="31">
        <v>52000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f>ROUND(P120*1.5%,2)</f>
        <v>780</v>
      </c>
      <c r="AF120" s="31">
        <v>0</v>
      </c>
      <c r="AG120" s="31">
        <v>0</v>
      </c>
      <c r="AH120" s="107" t="s">
        <v>274</v>
      </c>
      <c r="AI120" s="107">
        <v>2020</v>
      </c>
      <c r="AJ120" s="107">
        <v>2020</v>
      </c>
    </row>
    <row r="121" spans="1:36" ht="61.5" x14ac:dyDescent="0.85">
      <c r="A121" s="6">
        <v>1</v>
      </c>
      <c r="B121" s="66">
        <f>SUBTOTAL(103,$A$66:A121)</f>
        <v>51</v>
      </c>
      <c r="C121" s="109" t="s">
        <v>1492</v>
      </c>
      <c r="D121" s="88" t="s">
        <v>1065</v>
      </c>
      <c r="E121" s="69">
        <v>0.86109999999999998</v>
      </c>
      <c r="F121" s="31">
        <f t="shared" si="22"/>
        <v>209078.37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3">
        <v>0</v>
      </c>
      <c r="N121" s="31">
        <v>0</v>
      </c>
      <c r="O121" s="31">
        <v>1539</v>
      </c>
      <c r="P121" s="31">
        <v>205988.54</v>
      </c>
      <c r="Q121" s="31">
        <v>0</v>
      </c>
      <c r="R121" s="31">
        <v>0</v>
      </c>
      <c r="S121" s="31">
        <v>0</v>
      </c>
      <c r="T121" s="110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f>ROUND(P121*1.5%,2)</f>
        <v>3089.83</v>
      </c>
      <c r="AF121" s="31">
        <v>0</v>
      </c>
      <c r="AG121" s="31">
        <v>0</v>
      </c>
      <c r="AH121" s="107" t="s">
        <v>274</v>
      </c>
      <c r="AI121" s="107">
        <v>2020</v>
      </c>
      <c r="AJ121" s="107">
        <v>2020</v>
      </c>
    </row>
    <row r="122" spans="1:36" ht="61.5" x14ac:dyDescent="0.85">
      <c r="A122" s="6">
        <v>1</v>
      </c>
      <c r="B122" s="66">
        <f>SUBTOTAL(103,$A$66:A122)</f>
        <v>52</v>
      </c>
      <c r="C122" s="109" t="s">
        <v>1493</v>
      </c>
      <c r="D122" s="88" t="s">
        <v>1436</v>
      </c>
      <c r="E122" s="69">
        <v>0.85870000000000002</v>
      </c>
      <c r="F122" s="31">
        <f t="shared" si="22"/>
        <v>913500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3">
        <v>0</v>
      </c>
      <c r="N122" s="31">
        <v>0</v>
      </c>
      <c r="O122" s="31">
        <v>748</v>
      </c>
      <c r="P122" s="31">
        <v>900000</v>
      </c>
      <c r="Q122" s="31">
        <v>0</v>
      </c>
      <c r="R122" s="31">
        <v>0</v>
      </c>
      <c r="S122" s="31">
        <v>0</v>
      </c>
      <c r="T122" s="110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f>ROUND(P122*1.5%,2)</f>
        <v>13500</v>
      </c>
      <c r="AF122" s="31">
        <v>0</v>
      </c>
      <c r="AG122" s="31">
        <v>0</v>
      </c>
      <c r="AH122" s="107" t="s">
        <v>274</v>
      </c>
      <c r="AI122" s="107">
        <v>2020</v>
      </c>
      <c r="AJ122" s="107">
        <v>2020</v>
      </c>
    </row>
    <row r="123" spans="1:36" ht="61.5" x14ac:dyDescent="0.85">
      <c r="A123" s="6">
        <v>1</v>
      </c>
      <c r="B123" s="66">
        <f>SUBTOTAL(103,$A$66:A123)</f>
        <v>53</v>
      </c>
      <c r="C123" s="109" t="s">
        <v>1494</v>
      </c>
      <c r="D123" s="88" t="s">
        <v>1435</v>
      </c>
      <c r="E123" s="69">
        <v>0.9476</v>
      </c>
      <c r="F123" s="31">
        <f t="shared" si="22"/>
        <v>45260.939999999995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3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174</v>
      </c>
      <c r="T123" s="110">
        <v>44592.06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f>ROUND(T123*1.5%,2)</f>
        <v>668.88</v>
      </c>
      <c r="AF123" s="31">
        <v>0</v>
      </c>
      <c r="AG123" s="31">
        <v>0</v>
      </c>
      <c r="AH123" s="107" t="s">
        <v>274</v>
      </c>
      <c r="AI123" s="107">
        <v>2020</v>
      </c>
      <c r="AJ123" s="107">
        <v>2020</v>
      </c>
    </row>
    <row r="124" spans="1:36" ht="61.5" x14ac:dyDescent="0.85">
      <c r="A124" s="6">
        <v>1</v>
      </c>
      <c r="B124" s="66">
        <f>SUBTOTAL(103,$A$66:A124)</f>
        <v>54</v>
      </c>
      <c r="C124" s="109" t="s">
        <v>1495</v>
      </c>
      <c r="D124" s="88" t="s">
        <v>1065</v>
      </c>
      <c r="E124" s="69">
        <v>0.94679999999999997</v>
      </c>
      <c r="F124" s="31">
        <f t="shared" si="22"/>
        <v>41021.47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3">
        <v>0</v>
      </c>
      <c r="N124" s="31">
        <v>0</v>
      </c>
      <c r="O124" s="31">
        <v>289.66000000000003</v>
      </c>
      <c r="P124" s="31">
        <v>40415.24</v>
      </c>
      <c r="Q124" s="31">
        <v>0</v>
      </c>
      <c r="R124" s="31">
        <v>0</v>
      </c>
      <c r="S124" s="31">
        <v>0</v>
      </c>
      <c r="T124" s="110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f>ROUND(P124*1.5%,2)</f>
        <v>606.23</v>
      </c>
      <c r="AF124" s="31">
        <v>0</v>
      </c>
      <c r="AG124" s="31">
        <v>0</v>
      </c>
      <c r="AH124" s="107" t="s">
        <v>274</v>
      </c>
      <c r="AI124" s="107">
        <v>2020</v>
      </c>
      <c r="AJ124" s="107">
        <v>2020</v>
      </c>
    </row>
    <row r="125" spans="1:36" ht="61.5" x14ac:dyDescent="0.85">
      <c r="A125" s="6">
        <v>1</v>
      </c>
      <c r="B125" s="66">
        <f>SUBTOTAL(103,$A$66:A125)</f>
        <v>55</v>
      </c>
      <c r="C125" s="109" t="s">
        <v>1496</v>
      </c>
      <c r="D125" s="88" t="s">
        <v>1065</v>
      </c>
      <c r="E125" s="69">
        <v>0.92569999999999997</v>
      </c>
      <c r="F125" s="31">
        <f t="shared" si="22"/>
        <v>504846.64999999997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3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3007.6</v>
      </c>
      <c r="T125" s="110">
        <v>497385.86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f>ROUND(T125*1.5%,2)</f>
        <v>7460.79</v>
      </c>
      <c r="AF125" s="31">
        <v>0</v>
      </c>
      <c r="AG125" s="31">
        <v>0</v>
      </c>
      <c r="AH125" s="107" t="s">
        <v>274</v>
      </c>
      <c r="AI125" s="107">
        <v>2020</v>
      </c>
      <c r="AJ125" s="107">
        <v>2020</v>
      </c>
    </row>
    <row r="126" spans="1:36" ht="61.5" x14ac:dyDescent="0.85">
      <c r="A126" s="6">
        <v>1</v>
      </c>
      <c r="B126" s="66">
        <f>SUBTOTAL(103,$A$66:A126)</f>
        <v>56</v>
      </c>
      <c r="C126" s="109" t="s">
        <v>1539</v>
      </c>
      <c r="D126" s="88" t="s">
        <v>1070</v>
      </c>
      <c r="E126" s="69">
        <v>0.80649999999999999</v>
      </c>
      <c r="F126" s="31">
        <f t="shared" si="22"/>
        <v>52491.74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3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1676</v>
      </c>
      <c r="T126" s="110">
        <v>51716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f>ROUND(T126*1.5%,2)</f>
        <v>775.74</v>
      </c>
      <c r="AF126" s="31">
        <v>0</v>
      </c>
      <c r="AG126" s="31">
        <v>0</v>
      </c>
      <c r="AH126" s="107" t="s">
        <v>274</v>
      </c>
      <c r="AI126" s="107">
        <v>2020</v>
      </c>
      <c r="AJ126" s="107">
        <v>2020</v>
      </c>
    </row>
    <row r="127" spans="1:36" ht="61.5" x14ac:dyDescent="0.85">
      <c r="A127" s="6">
        <v>1</v>
      </c>
      <c r="B127" s="66">
        <f>SUBTOTAL(103,$A$66:A127)</f>
        <v>57</v>
      </c>
      <c r="C127" s="109" t="s">
        <v>1540</v>
      </c>
      <c r="D127" s="88" t="s">
        <v>1436</v>
      </c>
      <c r="E127" s="69">
        <v>0.79520000000000002</v>
      </c>
      <c r="F127" s="31">
        <f t="shared" si="22"/>
        <v>81764.34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3">
        <v>0</v>
      </c>
      <c r="N127" s="31">
        <v>0</v>
      </c>
      <c r="O127" s="31">
        <v>352</v>
      </c>
      <c r="P127" s="31">
        <v>80556</v>
      </c>
      <c r="Q127" s="31">
        <v>0</v>
      </c>
      <c r="R127" s="31">
        <v>0</v>
      </c>
      <c r="S127" s="31">
        <v>0</v>
      </c>
      <c r="T127" s="110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f>ROUND(P127*1.5%,2)</f>
        <v>1208.3399999999999</v>
      </c>
      <c r="AF127" s="31">
        <v>0</v>
      </c>
      <c r="AG127" s="31">
        <v>0</v>
      </c>
      <c r="AH127" s="107" t="s">
        <v>274</v>
      </c>
      <c r="AI127" s="107">
        <v>2020</v>
      </c>
      <c r="AJ127" s="107">
        <v>2020</v>
      </c>
    </row>
    <row r="128" spans="1:36" ht="61.5" x14ac:dyDescent="0.85">
      <c r="A128" s="6">
        <v>1</v>
      </c>
      <c r="B128" s="66">
        <f>SUBTOTAL(103,$A$66:A128)</f>
        <v>58</v>
      </c>
      <c r="C128" s="109" t="s">
        <v>1541</v>
      </c>
      <c r="D128" s="88" t="s">
        <v>1065</v>
      </c>
      <c r="E128" s="69">
        <v>0.76160000000000005</v>
      </c>
      <c r="F128" s="31">
        <f>G128+H128+I128+J128+K128+L128+N128+P128+R128+T128+V128+W128+X128+Y128+Z128+AA128+AB128+AC128+AD128+AE128+AF128+AG128</f>
        <v>7612.5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3">
        <v>0</v>
      </c>
      <c r="N128" s="31">
        <v>0</v>
      </c>
      <c r="O128" s="31">
        <v>910</v>
      </c>
      <c r="P128" s="31">
        <v>7500</v>
      </c>
      <c r="Q128" s="31">
        <v>0</v>
      </c>
      <c r="R128" s="31">
        <v>0</v>
      </c>
      <c r="S128" s="31">
        <v>0</v>
      </c>
      <c r="T128" s="110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f>ROUND(P128*1.5%,2)</f>
        <v>112.5</v>
      </c>
      <c r="AF128" s="31">
        <v>0</v>
      </c>
      <c r="AG128" s="31">
        <v>0</v>
      </c>
      <c r="AH128" s="107" t="s">
        <v>274</v>
      </c>
      <c r="AI128" s="107">
        <v>2020</v>
      </c>
      <c r="AJ128" s="107">
        <v>2020</v>
      </c>
    </row>
    <row r="129" spans="1:36" ht="61.5" x14ac:dyDescent="0.85">
      <c r="A129" s="6">
        <v>1</v>
      </c>
      <c r="B129" s="66">
        <f>SUBTOTAL(103,$A$66:A129)</f>
        <v>59</v>
      </c>
      <c r="C129" s="109" t="s">
        <v>1720</v>
      </c>
      <c r="D129" s="88" t="s">
        <v>1441</v>
      </c>
      <c r="E129" s="69">
        <v>0.95309999999999995</v>
      </c>
      <c r="F129" s="31">
        <f t="shared" si="22"/>
        <v>16859.560000000001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3">
        <v>0</v>
      </c>
      <c r="N129" s="31">
        <v>0</v>
      </c>
      <c r="O129" s="31">
        <v>900</v>
      </c>
      <c r="P129" s="31">
        <v>16610.400000000001</v>
      </c>
      <c r="Q129" s="31">
        <v>0</v>
      </c>
      <c r="R129" s="31">
        <v>0</v>
      </c>
      <c r="S129" s="31">
        <v>0</v>
      </c>
      <c r="T129" s="110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f>ROUND(P129*1.5%,2)</f>
        <v>249.16</v>
      </c>
      <c r="AF129" s="31">
        <v>0</v>
      </c>
      <c r="AG129" s="31">
        <v>0</v>
      </c>
      <c r="AH129" s="107" t="s">
        <v>274</v>
      </c>
      <c r="AI129" s="107">
        <v>2020</v>
      </c>
      <c r="AJ129" s="107">
        <v>2020</v>
      </c>
    </row>
    <row r="130" spans="1:36" ht="62.25" x14ac:dyDescent="0.9">
      <c r="B130" s="133" t="s">
        <v>1443</v>
      </c>
      <c r="C130" s="134"/>
      <c r="D130" s="108" t="s">
        <v>915</v>
      </c>
      <c r="E130" s="69">
        <f>AVERAGE(E131:E143)</f>
        <v>0.90999367877984549</v>
      </c>
      <c r="F130" s="31">
        <f>SUM(F131:F143)</f>
        <v>5724003.1600000001</v>
      </c>
      <c r="G130" s="31">
        <f t="shared" ref="G130:AG130" si="31">SUM(G131:G143)</f>
        <v>0</v>
      </c>
      <c r="H130" s="31">
        <f t="shared" si="31"/>
        <v>0</v>
      </c>
      <c r="I130" s="31">
        <f t="shared" si="31"/>
        <v>0</v>
      </c>
      <c r="J130" s="31">
        <f t="shared" si="31"/>
        <v>0</v>
      </c>
      <c r="K130" s="31">
        <f t="shared" si="31"/>
        <v>0</v>
      </c>
      <c r="L130" s="31">
        <f t="shared" si="31"/>
        <v>0</v>
      </c>
      <c r="M130" s="33">
        <f t="shared" si="31"/>
        <v>0</v>
      </c>
      <c r="N130" s="31">
        <f t="shared" si="31"/>
        <v>0</v>
      </c>
      <c r="O130" s="31">
        <f t="shared" si="31"/>
        <v>12302</v>
      </c>
      <c r="P130" s="31">
        <f t="shared" si="31"/>
        <v>5554404.9500000011</v>
      </c>
      <c r="Q130" s="31">
        <f t="shared" si="31"/>
        <v>0</v>
      </c>
      <c r="R130" s="31">
        <f t="shared" si="31"/>
        <v>0</v>
      </c>
      <c r="S130" s="31">
        <f t="shared" si="31"/>
        <v>0</v>
      </c>
      <c r="T130" s="31">
        <f t="shared" si="31"/>
        <v>0</v>
      </c>
      <c r="U130" s="31">
        <f t="shared" si="31"/>
        <v>0</v>
      </c>
      <c r="V130" s="31">
        <f t="shared" si="31"/>
        <v>0</v>
      </c>
      <c r="W130" s="31">
        <f t="shared" si="31"/>
        <v>0</v>
      </c>
      <c r="X130" s="31">
        <f t="shared" si="31"/>
        <v>85007</v>
      </c>
      <c r="Y130" s="31">
        <f t="shared" si="31"/>
        <v>0</v>
      </c>
      <c r="Z130" s="31">
        <f t="shared" si="31"/>
        <v>0</v>
      </c>
      <c r="AA130" s="31">
        <f t="shared" si="31"/>
        <v>0</v>
      </c>
      <c r="AB130" s="31">
        <f t="shared" si="31"/>
        <v>0</v>
      </c>
      <c r="AC130" s="31">
        <f t="shared" si="31"/>
        <v>0</v>
      </c>
      <c r="AD130" s="31">
        <f t="shared" si="31"/>
        <v>0</v>
      </c>
      <c r="AE130" s="31">
        <f t="shared" si="31"/>
        <v>84591.209999999992</v>
      </c>
      <c r="AF130" s="31">
        <f t="shared" si="31"/>
        <v>0</v>
      </c>
      <c r="AG130" s="31">
        <f t="shared" si="31"/>
        <v>0</v>
      </c>
      <c r="AH130" s="107" t="s">
        <v>915</v>
      </c>
      <c r="AI130" s="107" t="s">
        <v>915</v>
      </c>
      <c r="AJ130" s="107" t="s">
        <v>915</v>
      </c>
    </row>
    <row r="131" spans="1:36" ht="61.5" x14ac:dyDescent="0.85">
      <c r="A131" s="6">
        <v>1</v>
      </c>
      <c r="B131" s="66">
        <f>SUBTOTAL(103,$A$66:A131)</f>
        <v>60</v>
      </c>
      <c r="C131" s="109" t="s">
        <v>1497</v>
      </c>
      <c r="D131" s="88" t="s">
        <v>1438</v>
      </c>
      <c r="E131" s="69">
        <v>0.95770131483230581</v>
      </c>
      <c r="F131" s="31">
        <f t="shared" si="22"/>
        <v>1768863.85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3">
        <v>0</v>
      </c>
      <c r="N131" s="31">
        <v>0</v>
      </c>
      <c r="O131" s="31">
        <v>2039</v>
      </c>
      <c r="P131" s="31">
        <v>1742723</v>
      </c>
      <c r="Q131" s="31">
        <v>0</v>
      </c>
      <c r="R131" s="31">
        <v>0</v>
      </c>
      <c r="S131" s="31">
        <v>0</v>
      </c>
      <c r="T131" s="110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f>ROUND(P131*1.5%,2)</f>
        <v>26140.85</v>
      </c>
      <c r="AF131" s="31">
        <v>0</v>
      </c>
      <c r="AG131" s="31">
        <v>0</v>
      </c>
      <c r="AH131" s="107" t="s">
        <v>274</v>
      </c>
      <c r="AI131" s="107">
        <v>2020</v>
      </c>
      <c r="AJ131" s="107">
        <v>2020</v>
      </c>
    </row>
    <row r="132" spans="1:36" ht="61.5" x14ac:dyDescent="0.85">
      <c r="A132" s="6">
        <v>1</v>
      </c>
      <c r="B132" s="66">
        <f>SUBTOTAL(103,$A$66:A132)</f>
        <v>61</v>
      </c>
      <c r="C132" s="109" t="s">
        <v>1498</v>
      </c>
      <c r="D132" s="88" t="s">
        <v>1436</v>
      </c>
      <c r="E132" s="69">
        <v>0.91669999999999996</v>
      </c>
      <c r="F132" s="31">
        <f t="shared" si="22"/>
        <v>293340.08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3">
        <v>0</v>
      </c>
      <c r="N132" s="31">
        <v>0</v>
      </c>
      <c r="O132" s="31">
        <v>1135</v>
      </c>
      <c r="P132" s="31">
        <v>289005</v>
      </c>
      <c r="Q132" s="31">
        <v>0</v>
      </c>
      <c r="R132" s="31">
        <v>0</v>
      </c>
      <c r="S132" s="31">
        <v>0</v>
      </c>
      <c r="T132" s="110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f t="shared" ref="AE132:AE142" si="32">ROUND(P132*1.5%,2)</f>
        <v>4335.08</v>
      </c>
      <c r="AF132" s="31">
        <v>0</v>
      </c>
      <c r="AG132" s="31">
        <v>0</v>
      </c>
      <c r="AH132" s="107" t="s">
        <v>274</v>
      </c>
      <c r="AI132" s="107">
        <v>2020</v>
      </c>
      <c r="AJ132" s="107">
        <v>2020</v>
      </c>
    </row>
    <row r="133" spans="1:36" ht="61.5" x14ac:dyDescent="0.85">
      <c r="A133" s="6">
        <v>1</v>
      </c>
      <c r="B133" s="66">
        <f>SUBTOTAL(103,$A$66:A133)</f>
        <v>62</v>
      </c>
      <c r="C133" s="109" t="s">
        <v>1499</v>
      </c>
      <c r="D133" s="88" t="s">
        <v>1064</v>
      </c>
      <c r="E133" s="69">
        <v>0.98309999999999997</v>
      </c>
      <c r="F133" s="31">
        <f t="shared" si="22"/>
        <v>31698.43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3">
        <v>0</v>
      </c>
      <c r="N133" s="31">
        <v>0</v>
      </c>
      <c r="O133" s="31">
        <v>1845</v>
      </c>
      <c r="P133" s="31">
        <v>31229.98</v>
      </c>
      <c r="Q133" s="31">
        <v>0</v>
      </c>
      <c r="R133" s="31">
        <v>0</v>
      </c>
      <c r="S133" s="31">
        <v>0</v>
      </c>
      <c r="T133" s="110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f t="shared" si="32"/>
        <v>468.45</v>
      </c>
      <c r="AF133" s="31">
        <v>0</v>
      </c>
      <c r="AG133" s="31">
        <v>0</v>
      </c>
      <c r="AH133" s="107" t="s">
        <v>274</v>
      </c>
      <c r="AI133" s="107">
        <v>2020</v>
      </c>
      <c r="AJ133" s="107">
        <v>2020</v>
      </c>
    </row>
    <row r="134" spans="1:36" ht="61.5" x14ac:dyDescent="0.85">
      <c r="A134" s="6">
        <v>1</v>
      </c>
      <c r="B134" s="66">
        <f>SUBTOTAL(103,$A$66:A134)</f>
        <v>63</v>
      </c>
      <c r="C134" s="109" t="s">
        <v>1500</v>
      </c>
      <c r="D134" s="88" t="s">
        <v>1066</v>
      </c>
      <c r="E134" s="69">
        <v>0.9163</v>
      </c>
      <c r="F134" s="31">
        <f t="shared" si="22"/>
        <v>104524.7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3">
        <v>0</v>
      </c>
      <c r="N134" s="31">
        <v>0</v>
      </c>
      <c r="O134" s="31">
        <v>736</v>
      </c>
      <c r="P134" s="31">
        <v>102980</v>
      </c>
      <c r="Q134" s="31">
        <v>0</v>
      </c>
      <c r="R134" s="31">
        <v>0</v>
      </c>
      <c r="S134" s="31">
        <v>0</v>
      </c>
      <c r="T134" s="110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f t="shared" si="32"/>
        <v>1544.7</v>
      </c>
      <c r="AF134" s="31">
        <v>0</v>
      </c>
      <c r="AG134" s="31">
        <v>0</v>
      </c>
      <c r="AH134" s="107" t="s">
        <v>274</v>
      </c>
      <c r="AI134" s="107">
        <v>2020</v>
      </c>
      <c r="AJ134" s="107">
        <v>2020</v>
      </c>
    </row>
    <row r="135" spans="1:36" ht="61.5" x14ac:dyDescent="0.85">
      <c r="A135" s="6">
        <v>1</v>
      </c>
      <c r="B135" s="66">
        <f>SUBTOTAL(103,$A$66:A135)</f>
        <v>64</v>
      </c>
      <c r="C135" s="109" t="s">
        <v>1501</v>
      </c>
      <c r="D135" s="88" t="s">
        <v>1066</v>
      </c>
      <c r="E135" s="69">
        <v>0.88370000000000004</v>
      </c>
      <c r="F135" s="31">
        <f t="shared" si="22"/>
        <v>115014.75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3">
        <v>0</v>
      </c>
      <c r="N135" s="31">
        <v>0</v>
      </c>
      <c r="O135" s="31">
        <v>518</v>
      </c>
      <c r="P135" s="31">
        <v>113315.02</v>
      </c>
      <c r="Q135" s="31">
        <v>0</v>
      </c>
      <c r="R135" s="31">
        <v>0</v>
      </c>
      <c r="S135" s="31">
        <v>0</v>
      </c>
      <c r="T135" s="110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f t="shared" si="32"/>
        <v>1699.73</v>
      </c>
      <c r="AF135" s="31">
        <v>0</v>
      </c>
      <c r="AG135" s="31">
        <v>0</v>
      </c>
      <c r="AH135" s="107" t="s">
        <v>274</v>
      </c>
      <c r="AI135" s="107">
        <v>2020</v>
      </c>
      <c r="AJ135" s="107">
        <v>2020</v>
      </c>
    </row>
    <row r="136" spans="1:36" ht="61.5" x14ac:dyDescent="0.85">
      <c r="A136" s="6">
        <v>1</v>
      </c>
      <c r="B136" s="66">
        <f>SUBTOTAL(103,$A$66:A136)</f>
        <v>65</v>
      </c>
      <c r="C136" s="109" t="s">
        <v>1502</v>
      </c>
      <c r="D136" s="88" t="s">
        <v>1066</v>
      </c>
      <c r="E136" s="69">
        <v>1.000675491846317</v>
      </c>
      <c r="F136" s="31">
        <f t="shared" si="22"/>
        <v>1485132.34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3">
        <v>0</v>
      </c>
      <c r="N136" s="31">
        <v>0</v>
      </c>
      <c r="O136" s="31">
        <v>1238</v>
      </c>
      <c r="P136" s="31">
        <v>1463184.57</v>
      </c>
      <c r="Q136" s="31">
        <v>0</v>
      </c>
      <c r="R136" s="31">
        <v>0</v>
      </c>
      <c r="S136" s="31">
        <v>0</v>
      </c>
      <c r="T136" s="110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f t="shared" si="32"/>
        <v>21947.77</v>
      </c>
      <c r="AF136" s="31">
        <v>0</v>
      </c>
      <c r="AG136" s="31">
        <v>0</v>
      </c>
      <c r="AH136" s="107" t="s">
        <v>274</v>
      </c>
      <c r="AI136" s="107">
        <v>2020</v>
      </c>
      <c r="AJ136" s="107">
        <v>2020</v>
      </c>
    </row>
    <row r="137" spans="1:36" ht="61.5" x14ac:dyDescent="0.85">
      <c r="A137" s="6">
        <v>1</v>
      </c>
      <c r="B137" s="66">
        <f>SUBTOTAL(103,$A$66:A137)</f>
        <v>66</v>
      </c>
      <c r="C137" s="109" t="s">
        <v>1503</v>
      </c>
      <c r="D137" s="88" t="s">
        <v>1064</v>
      </c>
      <c r="E137" s="69">
        <v>0.80026822300653366</v>
      </c>
      <c r="F137" s="31">
        <f t="shared" si="22"/>
        <v>184374.75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3">
        <v>0</v>
      </c>
      <c r="N137" s="31">
        <v>0</v>
      </c>
      <c r="O137" s="31">
        <v>668</v>
      </c>
      <c r="P137" s="31">
        <v>181650</v>
      </c>
      <c r="Q137" s="31">
        <v>0</v>
      </c>
      <c r="R137" s="31">
        <v>0</v>
      </c>
      <c r="S137" s="31">
        <v>0</v>
      </c>
      <c r="T137" s="110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f t="shared" si="32"/>
        <v>2724.75</v>
      </c>
      <c r="AF137" s="31">
        <v>0</v>
      </c>
      <c r="AG137" s="31">
        <v>0</v>
      </c>
      <c r="AH137" s="107" t="s">
        <v>274</v>
      </c>
      <c r="AI137" s="107">
        <v>2020</v>
      </c>
      <c r="AJ137" s="107">
        <v>2020</v>
      </c>
    </row>
    <row r="138" spans="1:36" ht="61.5" x14ac:dyDescent="0.85">
      <c r="A138" s="6">
        <v>1</v>
      </c>
      <c r="B138" s="66">
        <f>SUBTOTAL(103,$A$66:A138)</f>
        <v>67</v>
      </c>
      <c r="C138" s="109" t="s">
        <v>1504</v>
      </c>
      <c r="D138" s="88" t="s">
        <v>1064</v>
      </c>
      <c r="E138" s="69">
        <v>0.92587279445283599</v>
      </c>
      <c r="F138" s="31">
        <f t="shared" si="22"/>
        <v>21662.15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3">
        <v>0</v>
      </c>
      <c r="N138" s="31">
        <v>0</v>
      </c>
      <c r="O138" s="31">
        <v>559</v>
      </c>
      <c r="P138" s="31">
        <v>21342.02</v>
      </c>
      <c r="Q138" s="31">
        <v>0</v>
      </c>
      <c r="R138" s="31">
        <v>0</v>
      </c>
      <c r="S138" s="31">
        <v>0</v>
      </c>
      <c r="T138" s="110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f t="shared" si="32"/>
        <v>320.13</v>
      </c>
      <c r="AF138" s="31">
        <v>0</v>
      </c>
      <c r="AG138" s="31">
        <v>0</v>
      </c>
      <c r="AH138" s="107" t="s">
        <v>274</v>
      </c>
      <c r="AI138" s="107">
        <v>2020</v>
      </c>
      <c r="AJ138" s="107">
        <v>2020</v>
      </c>
    </row>
    <row r="139" spans="1:36" ht="61.5" x14ac:dyDescent="0.85">
      <c r="A139" s="6">
        <v>1</v>
      </c>
      <c r="B139" s="66">
        <f>SUBTOTAL(103,$A$66:A139)</f>
        <v>68</v>
      </c>
      <c r="C139" s="109" t="s">
        <v>1505</v>
      </c>
      <c r="D139" s="88" t="s">
        <v>1444</v>
      </c>
      <c r="E139" s="69">
        <v>0.87360000000000004</v>
      </c>
      <c r="F139" s="31">
        <f t="shared" si="22"/>
        <v>1197776.18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3">
        <v>0</v>
      </c>
      <c r="N139" s="31">
        <v>0</v>
      </c>
      <c r="O139" s="31">
        <v>1549</v>
      </c>
      <c r="P139" s="31">
        <v>1180075.05</v>
      </c>
      <c r="Q139" s="31">
        <v>0</v>
      </c>
      <c r="R139" s="31">
        <v>0</v>
      </c>
      <c r="S139" s="31">
        <v>0</v>
      </c>
      <c r="T139" s="110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f t="shared" si="32"/>
        <v>17701.13</v>
      </c>
      <c r="AF139" s="31">
        <v>0</v>
      </c>
      <c r="AG139" s="31">
        <v>0</v>
      </c>
      <c r="AH139" s="107" t="s">
        <v>274</v>
      </c>
      <c r="AI139" s="107">
        <v>2020</v>
      </c>
      <c r="AJ139" s="107">
        <v>2020</v>
      </c>
    </row>
    <row r="140" spans="1:36" ht="61.5" x14ac:dyDescent="0.85">
      <c r="A140" s="6">
        <v>1</v>
      </c>
      <c r="B140" s="66">
        <f>SUBTOTAL(103,$A$66:A140)</f>
        <v>69</v>
      </c>
      <c r="C140" s="109" t="s">
        <v>1506</v>
      </c>
      <c r="D140" s="88" t="s">
        <v>1066</v>
      </c>
      <c r="E140" s="69">
        <v>0.78059999999999996</v>
      </c>
      <c r="F140" s="31">
        <f t="shared" si="22"/>
        <v>58132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3">
        <v>0</v>
      </c>
      <c r="N140" s="31">
        <v>0</v>
      </c>
      <c r="O140" s="31">
        <v>450</v>
      </c>
      <c r="P140" s="31">
        <v>57272.91</v>
      </c>
      <c r="Q140" s="31">
        <v>0</v>
      </c>
      <c r="R140" s="31">
        <v>0</v>
      </c>
      <c r="S140" s="31">
        <v>0</v>
      </c>
      <c r="T140" s="110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f t="shared" si="32"/>
        <v>859.09</v>
      </c>
      <c r="AF140" s="31">
        <v>0</v>
      </c>
      <c r="AG140" s="31">
        <v>0</v>
      </c>
      <c r="AH140" s="107" t="s">
        <v>274</v>
      </c>
      <c r="AI140" s="107">
        <v>2020</v>
      </c>
      <c r="AJ140" s="107">
        <v>2020</v>
      </c>
    </row>
    <row r="141" spans="1:36" ht="61.5" x14ac:dyDescent="0.85">
      <c r="A141" s="6">
        <v>1</v>
      </c>
      <c r="B141" s="66">
        <f>SUBTOTAL(103,$A$66:A141)</f>
        <v>70</v>
      </c>
      <c r="C141" s="109" t="s">
        <v>1189</v>
      </c>
      <c r="D141" s="88" t="s">
        <v>1439</v>
      </c>
      <c r="E141" s="69">
        <v>0.88049999999999995</v>
      </c>
      <c r="F141" s="31">
        <f t="shared" si="22"/>
        <v>275836.81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3">
        <v>0</v>
      </c>
      <c r="N141" s="31">
        <v>0</v>
      </c>
      <c r="O141" s="31">
        <v>498</v>
      </c>
      <c r="P141" s="31">
        <v>271760.40000000002</v>
      </c>
      <c r="Q141" s="31">
        <v>0</v>
      </c>
      <c r="R141" s="31">
        <v>0</v>
      </c>
      <c r="S141" s="31">
        <v>0</v>
      </c>
      <c r="T141" s="110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f t="shared" si="32"/>
        <v>4076.41</v>
      </c>
      <c r="AF141" s="31">
        <v>0</v>
      </c>
      <c r="AG141" s="31">
        <v>0</v>
      </c>
      <c r="AH141" s="107" t="s">
        <v>274</v>
      </c>
      <c r="AI141" s="107">
        <v>2020</v>
      </c>
      <c r="AJ141" s="107">
        <v>2020</v>
      </c>
    </row>
    <row r="142" spans="1:36" ht="61.5" x14ac:dyDescent="0.85">
      <c r="A142" s="6">
        <v>1</v>
      </c>
      <c r="B142" s="66">
        <f>SUBTOTAL(103,$A$66:A142)</f>
        <v>71</v>
      </c>
      <c r="C142" s="109" t="s">
        <v>1507</v>
      </c>
      <c r="D142" s="88" t="s">
        <v>1438</v>
      </c>
      <c r="E142" s="69">
        <v>0.97189999999999999</v>
      </c>
      <c r="F142" s="31">
        <f t="shared" si="22"/>
        <v>101365.01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3">
        <v>0</v>
      </c>
      <c r="N142" s="31">
        <v>0</v>
      </c>
      <c r="O142" s="31">
        <v>1067</v>
      </c>
      <c r="P142" s="31">
        <v>99867</v>
      </c>
      <c r="Q142" s="31">
        <v>0</v>
      </c>
      <c r="R142" s="31">
        <v>0</v>
      </c>
      <c r="S142" s="31">
        <v>0</v>
      </c>
      <c r="T142" s="110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f t="shared" si="32"/>
        <v>1498.01</v>
      </c>
      <c r="AF142" s="31">
        <v>0</v>
      </c>
      <c r="AG142" s="31">
        <v>0</v>
      </c>
      <c r="AH142" s="107" t="s">
        <v>274</v>
      </c>
      <c r="AI142" s="107">
        <v>2020</v>
      </c>
      <c r="AJ142" s="107">
        <v>2020</v>
      </c>
    </row>
    <row r="143" spans="1:36" ht="61.5" x14ac:dyDescent="0.85">
      <c r="A143" s="6">
        <v>1</v>
      </c>
      <c r="B143" s="66">
        <f>SUBTOTAL(103,$A$66:A143)</f>
        <v>72</v>
      </c>
      <c r="C143" s="109" t="s">
        <v>1545</v>
      </c>
      <c r="D143" s="88" t="s">
        <v>1066</v>
      </c>
      <c r="E143" s="69">
        <v>0.93899999999999995</v>
      </c>
      <c r="F143" s="31">
        <f t="shared" si="22"/>
        <v>86282.11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3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110">
        <v>0</v>
      </c>
      <c r="U143" s="31">
        <v>0</v>
      </c>
      <c r="V143" s="31">
        <v>0</v>
      </c>
      <c r="W143" s="31">
        <v>0</v>
      </c>
      <c r="X143" s="31">
        <v>85007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f>ROUND(X143*1.5%,2)</f>
        <v>1275.1099999999999</v>
      </c>
      <c r="AF143" s="31">
        <v>0</v>
      </c>
      <c r="AG143" s="31">
        <v>0</v>
      </c>
      <c r="AH143" s="107" t="s">
        <v>274</v>
      </c>
      <c r="AI143" s="107">
        <v>2020</v>
      </c>
      <c r="AJ143" s="107">
        <v>2020</v>
      </c>
    </row>
    <row r="144" spans="1:36" ht="62.25" x14ac:dyDescent="0.9">
      <c r="B144" s="133" t="s">
        <v>1445</v>
      </c>
      <c r="C144" s="134"/>
      <c r="D144" s="108" t="s">
        <v>915</v>
      </c>
      <c r="E144" s="69">
        <f>AVERAGE(E145:E149)</f>
        <v>0.87974755396834392</v>
      </c>
      <c r="F144" s="31">
        <f>SUM(F145:F149)</f>
        <v>1542530.93</v>
      </c>
      <c r="G144" s="31">
        <f t="shared" ref="G144:AG144" si="33">SUM(G145:G149)</f>
        <v>0</v>
      </c>
      <c r="H144" s="31">
        <f t="shared" si="33"/>
        <v>0</v>
      </c>
      <c r="I144" s="31">
        <f t="shared" si="33"/>
        <v>0</v>
      </c>
      <c r="J144" s="31">
        <f t="shared" si="33"/>
        <v>0</v>
      </c>
      <c r="K144" s="31">
        <f t="shared" si="33"/>
        <v>0</v>
      </c>
      <c r="L144" s="31">
        <f t="shared" si="33"/>
        <v>0</v>
      </c>
      <c r="M144" s="33">
        <f t="shared" si="33"/>
        <v>0</v>
      </c>
      <c r="N144" s="31">
        <f t="shared" si="33"/>
        <v>0</v>
      </c>
      <c r="O144" s="31">
        <f t="shared" si="33"/>
        <v>5282.4000000000005</v>
      </c>
      <c r="P144" s="31">
        <f t="shared" si="33"/>
        <v>1519734.91</v>
      </c>
      <c r="Q144" s="31">
        <f t="shared" si="33"/>
        <v>0</v>
      </c>
      <c r="R144" s="31">
        <f t="shared" si="33"/>
        <v>0</v>
      </c>
      <c r="S144" s="31">
        <f t="shared" si="33"/>
        <v>0</v>
      </c>
      <c r="T144" s="31">
        <f t="shared" si="33"/>
        <v>0</v>
      </c>
      <c r="U144" s="31">
        <f t="shared" si="33"/>
        <v>0</v>
      </c>
      <c r="V144" s="31">
        <f t="shared" si="33"/>
        <v>0</v>
      </c>
      <c r="W144" s="31">
        <f t="shared" si="33"/>
        <v>0</v>
      </c>
      <c r="X144" s="31">
        <f t="shared" si="33"/>
        <v>0</v>
      </c>
      <c r="Y144" s="31">
        <f t="shared" si="33"/>
        <v>0</v>
      </c>
      <c r="Z144" s="31">
        <f t="shared" si="33"/>
        <v>0</v>
      </c>
      <c r="AA144" s="31">
        <f t="shared" si="33"/>
        <v>0</v>
      </c>
      <c r="AB144" s="31">
        <f t="shared" si="33"/>
        <v>0</v>
      </c>
      <c r="AC144" s="31">
        <f t="shared" si="33"/>
        <v>0</v>
      </c>
      <c r="AD144" s="31">
        <f t="shared" si="33"/>
        <v>0</v>
      </c>
      <c r="AE144" s="31">
        <f t="shared" si="33"/>
        <v>22796.019999999997</v>
      </c>
      <c r="AF144" s="31">
        <f t="shared" si="33"/>
        <v>0</v>
      </c>
      <c r="AG144" s="31">
        <f t="shared" si="33"/>
        <v>0</v>
      </c>
      <c r="AH144" s="107" t="s">
        <v>915</v>
      </c>
      <c r="AI144" s="107" t="s">
        <v>915</v>
      </c>
      <c r="AJ144" s="107" t="s">
        <v>915</v>
      </c>
    </row>
    <row r="145" spans="1:36" ht="61.5" x14ac:dyDescent="0.85">
      <c r="A145" s="6">
        <v>1</v>
      </c>
      <c r="B145" s="66">
        <f>SUBTOTAL(103,$A$66:A145)</f>
        <v>73</v>
      </c>
      <c r="C145" s="109" t="s">
        <v>1508</v>
      </c>
      <c r="D145" s="72" t="s">
        <v>1064</v>
      </c>
      <c r="E145" s="69">
        <v>0.9054350997618551</v>
      </c>
      <c r="F145" s="31">
        <f t="shared" si="22"/>
        <v>382556.25999999995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3">
        <v>0</v>
      </c>
      <c r="N145" s="31">
        <v>0</v>
      </c>
      <c r="O145" s="31">
        <v>1160.0999999999999</v>
      </c>
      <c r="P145" s="31">
        <v>376902.72</v>
      </c>
      <c r="Q145" s="31">
        <v>0</v>
      </c>
      <c r="R145" s="31">
        <v>0</v>
      </c>
      <c r="S145" s="31">
        <v>0</v>
      </c>
      <c r="T145" s="110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f>ROUND(P145*1.5%,2)</f>
        <v>5653.54</v>
      </c>
      <c r="AF145" s="31">
        <v>0</v>
      </c>
      <c r="AG145" s="31">
        <v>0</v>
      </c>
      <c r="AH145" s="107" t="s">
        <v>274</v>
      </c>
      <c r="AI145" s="107">
        <v>2020</v>
      </c>
      <c r="AJ145" s="107">
        <v>2020</v>
      </c>
    </row>
    <row r="146" spans="1:36" ht="61.5" x14ac:dyDescent="0.85">
      <c r="A146" s="6">
        <v>1</v>
      </c>
      <c r="B146" s="66">
        <f>SUBTOTAL(103,$A$66:A146)</f>
        <v>74</v>
      </c>
      <c r="C146" s="109" t="s">
        <v>1509</v>
      </c>
      <c r="D146" s="72" t="s">
        <v>1069</v>
      </c>
      <c r="E146" s="69">
        <v>0.87345236547698324</v>
      </c>
      <c r="F146" s="31">
        <f t="shared" si="22"/>
        <v>381284.05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3">
        <v>0</v>
      </c>
      <c r="N146" s="31">
        <v>0</v>
      </c>
      <c r="O146" s="31">
        <v>1192.7</v>
      </c>
      <c r="P146" s="31">
        <v>375649.31</v>
      </c>
      <c r="Q146" s="31">
        <v>0</v>
      </c>
      <c r="R146" s="31">
        <v>0</v>
      </c>
      <c r="S146" s="31">
        <v>0</v>
      </c>
      <c r="T146" s="110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f>ROUND(P146*1.5%,2)</f>
        <v>5634.74</v>
      </c>
      <c r="AF146" s="31">
        <v>0</v>
      </c>
      <c r="AG146" s="31">
        <v>0</v>
      </c>
      <c r="AH146" s="107" t="s">
        <v>274</v>
      </c>
      <c r="AI146" s="107">
        <v>2020</v>
      </c>
      <c r="AJ146" s="107">
        <v>2020</v>
      </c>
    </row>
    <row r="147" spans="1:36" ht="61.5" x14ac:dyDescent="0.85">
      <c r="A147" s="6">
        <v>1</v>
      </c>
      <c r="B147" s="66">
        <f>SUBTOTAL(103,$A$66:A147)</f>
        <v>75</v>
      </c>
      <c r="C147" s="109" t="s">
        <v>392</v>
      </c>
      <c r="D147" s="72" t="s">
        <v>1065</v>
      </c>
      <c r="E147" s="69">
        <v>0.86236529068576662</v>
      </c>
      <c r="F147" s="31">
        <f t="shared" si="22"/>
        <v>292385.17000000004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3">
        <v>0</v>
      </c>
      <c r="N147" s="31">
        <v>0</v>
      </c>
      <c r="O147" s="31">
        <v>1207</v>
      </c>
      <c r="P147" s="31">
        <v>288064.21000000002</v>
      </c>
      <c r="Q147" s="31">
        <v>0</v>
      </c>
      <c r="R147" s="31">
        <v>0</v>
      </c>
      <c r="S147" s="31">
        <v>0</v>
      </c>
      <c r="T147" s="110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f>ROUND(P147*1.5%,2)</f>
        <v>4320.96</v>
      </c>
      <c r="AF147" s="31">
        <v>0</v>
      </c>
      <c r="AG147" s="31">
        <v>0</v>
      </c>
      <c r="AH147" s="107" t="s">
        <v>274</v>
      </c>
      <c r="AI147" s="107">
        <v>2020</v>
      </c>
      <c r="AJ147" s="107">
        <v>2020</v>
      </c>
    </row>
    <row r="148" spans="1:36" ht="61.5" x14ac:dyDescent="0.85">
      <c r="A148" s="6">
        <v>1</v>
      </c>
      <c r="B148" s="66">
        <f>SUBTOTAL(103,$A$66:A148)</f>
        <v>76</v>
      </c>
      <c r="C148" s="109" t="s">
        <v>1510</v>
      </c>
      <c r="D148" s="72" t="s">
        <v>1436</v>
      </c>
      <c r="E148" s="69">
        <v>0.85951459937778774</v>
      </c>
      <c r="F148" s="31">
        <f t="shared" si="22"/>
        <v>292385.17000000004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3">
        <v>0</v>
      </c>
      <c r="N148" s="31">
        <v>0</v>
      </c>
      <c r="O148" s="31">
        <v>1206</v>
      </c>
      <c r="P148" s="31">
        <v>288064.21000000002</v>
      </c>
      <c r="Q148" s="31">
        <v>0</v>
      </c>
      <c r="R148" s="31">
        <v>0</v>
      </c>
      <c r="S148" s="31">
        <v>0</v>
      </c>
      <c r="T148" s="110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f>ROUND(P148*1.5%,2)</f>
        <v>4320.96</v>
      </c>
      <c r="AF148" s="31">
        <v>0</v>
      </c>
      <c r="AG148" s="31">
        <v>0</v>
      </c>
      <c r="AH148" s="107" t="s">
        <v>274</v>
      </c>
      <c r="AI148" s="107">
        <v>2020</v>
      </c>
      <c r="AJ148" s="107">
        <v>2020</v>
      </c>
    </row>
    <row r="149" spans="1:36" ht="61.5" x14ac:dyDescent="0.85">
      <c r="A149" s="6">
        <v>1</v>
      </c>
      <c r="B149" s="66">
        <f>SUBTOTAL(103,$A$66:A149)</f>
        <v>77</v>
      </c>
      <c r="C149" s="109" t="s">
        <v>1511</v>
      </c>
      <c r="D149" s="72" t="s">
        <v>1434</v>
      </c>
      <c r="E149" s="69">
        <v>0.89797041453932691</v>
      </c>
      <c r="F149" s="31">
        <f t="shared" si="22"/>
        <v>193920.28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3">
        <v>0</v>
      </c>
      <c r="N149" s="31">
        <v>0</v>
      </c>
      <c r="O149" s="31">
        <v>516.6</v>
      </c>
      <c r="P149" s="31">
        <v>191054.46</v>
      </c>
      <c r="Q149" s="31">
        <v>0</v>
      </c>
      <c r="R149" s="31">
        <v>0</v>
      </c>
      <c r="S149" s="31">
        <v>0</v>
      </c>
      <c r="T149" s="110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f>ROUND(P149*1.5%,2)</f>
        <v>2865.82</v>
      </c>
      <c r="AF149" s="31">
        <v>0</v>
      </c>
      <c r="AG149" s="31">
        <v>0</v>
      </c>
      <c r="AH149" s="107" t="s">
        <v>274</v>
      </c>
      <c r="AI149" s="107">
        <v>2020</v>
      </c>
      <c r="AJ149" s="107">
        <v>2020</v>
      </c>
    </row>
    <row r="150" spans="1:36" ht="62.25" x14ac:dyDescent="0.9">
      <c r="B150" s="133" t="s">
        <v>909</v>
      </c>
      <c r="C150" s="134"/>
      <c r="D150" s="108" t="s">
        <v>915</v>
      </c>
      <c r="E150" s="69">
        <f>AVERAGE(E151:E152)</f>
        <v>0.86194999999999999</v>
      </c>
      <c r="F150" s="31">
        <f>SUM(F151:F152)</f>
        <v>3231773.15</v>
      </c>
      <c r="G150" s="31">
        <f t="shared" ref="G150:AG150" si="34">SUM(G151:G152)</f>
        <v>0</v>
      </c>
      <c r="H150" s="31">
        <f t="shared" si="34"/>
        <v>0</v>
      </c>
      <c r="I150" s="31">
        <f t="shared" si="34"/>
        <v>0</v>
      </c>
      <c r="J150" s="31">
        <f t="shared" si="34"/>
        <v>0</v>
      </c>
      <c r="K150" s="31">
        <f t="shared" si="34"/>
        <v>0</v>
      </c>
      <c r="L150" s="31">
        <f t="shared" si="34"/>
        <v>0</v>
      </c>
      <c r="M150" s="33">
        <f t="shared" si="34"/>
        <v>0</v>
      </c>
      <c r="N150" s="31">
        <f t="shared" si="34"/>
        <v>0</v>
      </c>
      <c r="O150" s="31">
        <f t="shared" si="34"/>
        <v>1625</v>
      </c>
      <c r="P150" s="31">
        <f t="shared" si="34"/>
        <v>3199617</v>
      </c>
      <c r="Q150" s="31">
        <f t="shared" si="34"/>
        <v>0</v>
      </c>
      <c r="R150" s="31">
        <f t="shared" si="34"/>
        <v>0</v>
      </c>
      <c r="S150" s="31">
        <f t="shared" si="34"/>
        <v>0</v>
      </c>
      <c r="T150" s="31">
        <f t="shared" si="34"/>
        <v>0</v>
      </c>
      <c r="U150" s="31">
        <f t="shared" si="34"/>
        <v>0</v>
      </c>
      <c r="V150" s="31">
        <f t="shared" si="34"/>
        <v>0</v>
      </c>
      <c r="W150" s="31">
        <f t="shared" si="34"/>
        <v>0</v>
      </c>
      <c r="X150" s="31">
        <f t="shared" si="34"/>
        <v>0</v>
      </c>
      <c r="Y150" s="31">
        <f t="shared" si="34"/>
        <v>0</v>
      </c>
      <c r="Z150" s="31">
        <f t="shared" si="34"/>
        <v>0</v>
      </c>
      <c r="AA150" s="31">
        <f t="shared" si="34"/>
        <v>0</v>
      </c>
      <c r="AB150" s="31">
        <f t="shared" si="34"/>
        <v>0</v>
      </c>
      <c r="AC150" s="31">
        <f t="shared" si="34"/>
        <v>0</v>
      </c>
      <c r="AD150" s="31">
        <f t="shared" si="34"/>
        <v>0</v>
      </c>
      <c r="AE150" s="31">
        <f t="shared" si="34"/>
        <v>32156.15</v>
      </c>
      <c r="AF150" s="31">
        <f t="shared" si="34"/>
        <v>0</v>
      </c>
      <c r="AG150" s="31">
        <f t="shared" si="34"/>
        <v>0</v>
      </c>
      <c r="AH150" s="107" t="s">
        <v>915</v>
      </c>
      <c r="AI150" s="107" t="s">
        <v>915</v>
      </c>
      <c r="AJ150" s="107" t="s">
        <v>915</v>
      </c>
    </row>
    <row r="151" spans="1:36" ht="61.5" x14ac:dyDescent="0.85">
      <c r="A151" s="6">
        <v>1</v>
      </c>
      <c r="B151" s="66">
        <f>SUBTOTAL(103,$A$66:A151)</f>
        <v>78</v>
      </c>
      <c r="C151" s="109" t="s">
        <v>1512</v>
      </c>
      <c r="D151" s="72" t="s">
        <v>1437</v>
      </c>
      <c r="E151" s="69">
        <v>0.82040000000000002</v>
      </c>
      <c r="F151" s="31">
        <f t="shared" si="22"/>
        <v>1617633.46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3">
        <v>0</v>
      </c>
      <c r="N151" s="31">
        <v>0</v>
      </c>
      <c r="O151" s="31">
        <v>812.5</v>
      </c>
      <c r="P151" s="31">
        <v>1601538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16095.46</v>
      </c>
      <c r="AF151" s="31">
        <v>0</v>
      </c>
      <c r="AG151" s="31">
        <v>0</v>
      </c>
      <c r="AH151" s="107" t="s">
        <v>274</v>
      </c>
      <c r="AI151" s="107">
        <v>2020</v>
      </c>
      <c r="AJ151" s="107">
        <v>2020</v>
      </c>
    </row>
    <row r="152" spans="1:36" ht="61.5" x14ac:dyDescent="0.85">
      <c r="A152" s="6">
        <v>1</v>
      </c>
      <c r="B152" s="66">
        <f>SUBTOTAL(103,$A$66:A152)</f>
        <v>79</v>
      </c>
      <c r="C152" s="109" t="s">
        <v>1513</v>
      </c>
      <c r="D152" s="72" t="s">
        <v>1435</v>
      </c>
      <c r="E152" s="69">
        <v>0.90349999999999997</v>
      </c>
      <c r="F152" s="31">
        <f>G152+H152+I152+J152+K152+L152+N152+P152+R152+T152+V152+W152+X152+Y152+Z152+AA152+AB152+AC152+AD152+AE152+AF152+AG152</f>
        <v>1614139.69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3">
        <v>0</v>
      </c>
      <c r="N152" s="31">
        <v>0</v>
      </c>
      <c r="O152" s="31">
        <v>812.5</v>
      </c>
      <c r="P152" s="31">
        <v>1598079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16060.69</v>
      </c>
      <c r="AF152" s="31">
        <v>0</v>
      </c>
      <c r="AG152" s="31">
        <v>0</v>
      </c>
      <c r="AH152" s="107" t="s">
        <v>274</v>
      </c>
      <c r="AI152" s="107">
        <v>2020</v>
      </c>
      <c r="AJ152" s="107">
        <v>2020</v>
      </c>
    </row>
    <row r="153" spans="1:36" ht="61.5" x14ac:dyDescent="0.85">
      <c r="B153" s="135" t="s">
        <v>1446</v>
      </c>
      <c r="C153" s="109"/>
      <c r="D153" s="108" t="s">
        <v>915</v>
      </c>
      <c r="E153" s="69">
        <f>AVERAGE(E154:E154)</f>
        <v>0.93579999999999997</v>
      </c>
      <c r="F153" s="31">
        <f>F154</f>
        <v>13131.869999999999</v>
      </c>
      <c r="G153" s="31">
        <f t="shared" ref="G153:AG153" si="35">G154</f>
        <v>0</v>
      </c>
      <c r="H153" s="31">
        <f t="shared" si="35"/>
        <v>0</v>
      </c>
      <c r="I153" s="31">
        <f t="shared" si="35"/>
        <v>0</v>
      </c>
      <c r="J153" s="31">
        <f t="shared" si="35"/>
        <v>0</v>
      </c>
      <c r="K153" s="31">
        <f t="shared" si="35"/>
        <v>0</v>
      </c>
      <c r="L153" s="31">
        <f t="shared" si="35"/>
        <v>0</v>
      </c>
      <c r="M153" s="33">
        <f t="shared" si="35"/>
        <v>0</v>
      </c>
      <c r="N153" s="31">
        <f t="shared" si="35"/>
        <v>0</v>
      </c>
      <c r="O153" s="31">
        <f t="shared" si="35"/>
        <v>471.6</v>
      </c>
      <c r="P153" s="31">
        <f t="shared" si="35"/>
        <v>12937.8</v>
      </c>
      <c r="Q153" s="31">
        <f t="shared" si="35"/>
        <v>0</v>
      </c>
      <c r="R153" s="31">
        <f t="shared" si="35"/>
        <v>0</v>
      </c>
      <c r="S153" s="31">
        <f t="shared" si="35"/>
        <v>0</v>
      </c>
      <c r="T153" s="31">
        <f t="shared" si="35"/>
        <v>0</v>
      </c>
      <c r="U153" s="31">
        <f t="shared" si="35"/>
        <v>0</v>
      </c>
      <c r="V153" s="31">
        <f t="shared" si="35"/>
        <v>0</v>
      </c>
      <c r="W153" s="31">
        <f t="shared" si="35"/>
        <v>0</v>
      </c>
      <c r="X153" s="31">
        <f t="shared" si="35"/>
        <v>0</v>
      </c>
      <c r="Y153" s="31">
        <f t="shared" si="35"/>
        <v>0</v>
      </c>
      <c r="Z153" s="31">
        <f t="shared" si="35"/>
        <v>0</v>
      </c>
      <c r="AA153" s="31">
        <f t="shared" si="35"/>
        <v>0</v>
      </c>
      <c r="AB153" s="31">
        <f t="shared" si="35"/>
        <v>0</v>
      </c>
      <c r="AC153" s="31">
        <f t="shared" si="35"/>
        <v>0</v>
      </c>
      <c r="AD153" s="31">
        <f t="shared" si="35"/>
        <v>0</v>
      </c>
      <c r="AE153" s="31">
        <f t="shared" si="35"/>
        <v>194.07</v>
      </c>
      <c r="AF153" s="31">
        <f t="shared" si="35"/>
        <v>0</v>
      </c>
      <c r="AG153" s="31">
        <f t="shared" si="35"/>
        <v>0</v>
      </c>
      <c r="AH153" s="107" t="s">
        <v>915</v>
      </c>
      <c r="AI153" s="107" t="s">
        <v>915</v>
      </c>
      <c r="AJ153" s="107" t="s">
        <v>915</v>
      </c>
    </row>
    <row r="154" spans="1:36" ht="61.5" x14ac:dyDescent="0.85">
      <c r="A154" s="6">
        <v>1</v>
      </c>
      <c r="B154" s="66">
        <f>SUBTOTAL(103,$A$66:A154)</f>
        <v>80</v>
      </c>
      <c r="C154" s="109" t="s">
        <v>1514</v>
      </c>
      <c r="D154" s="88" t="s">
        <v>1064</v>
      </c>
      <c r="E154" s="69">
        <v>0.93579999999999997</v>
      </c>
      <c r="F154" s="31">
        <f>G154+H154+I154+J154+K154+L154+N154+P154+R154+T154+V154+W154+X154+Y154+Z154+AA154+AB154+AC154+AD154+AE154+AF154+AG154</f>
        <v>13131.869999999999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3">
        <v>0</v>
      </c>
      <c r="N154" s="31">
        <v>0</v>
      </c>
      <c r="O154" s="31">
        <v>471.6</v>
      </c>
      <c r="P154" s="31">
        <v>12937.8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f>ROUND(P154*1.5%,2)</f>
        <v>194.07</v>
      </c>
      <c r="AF154" s="31">
        <v>0</v>
      </c>
      <c r="AG154" s="31">
        <v>0</v>
      </c>
      <c r="AH154" s="107" t="s">
        <v>274</v>
      </c>
      <c r="AI154" s="107">
        <v>2020</v>
      </c>
      <c r="AJ154" s="107">
        <v>2020</v>
      </c>
    </row>
    <row r="155" spans="1:36" ht="61.5" x14ac:dyDescent="0.85">
      <c r="B155" s="135" t="s">
        <v>885</v>
      </c>
      <c r="C155" s="109"/>
      <c r="D155" s="108" t="s">
        <v>915</v>
      </c>
      <c r="E155" s="69">
        <f>E156</f>
        <v>0.9657</v>
      </c>
      <c r="F155" s="31">
        <f>F156</f>
        <v>778244.79</v>
      </c>
      <c r="G155" s="31">
        <f t="shared" ref="G155:AG155" si="36">G156</f>
        <v>0</v>
      </c>
      <c r="H155" s="31">
        <f t="shared" si="36"/>
        <v>0</v>
      </c>
      <c r="I155" s="31">
        <f t="shared" si="36"/>
        <v>0</v>
      </c>
      <c r="J155" s="31">
        <f t="shared" si="36"/>
        <v>0</v>
      </c>
      <c r="K155" s="31">
        <f t="shared" si="36"/>
        <v>0</v>
      </c>
      <c r="L155" s="31">
        <f t="shared" si="36"/>
        <v>0</v>
      </c>
      <c r="M155" s="33">
        <f t="shared" si="36"/>
        <v>0</v>
      </c>
      <c r="N155" s="31">
        <f t="shared" si="36"/>
        <v>0</v>
      </c>
      <c r="O155" s="31">
        <f t="shared" si="36"/>
        <v>972.5</v>
      </c>
      <c r="P155" s="31">
        <f t="shared" si="36"/>
        <v>766743.64</v>
      </c>
      <c r="Q155" s="31">
        <f t="shared" si="36"/>
        <v>0</v>
      </c>
      <c r="R155" s="31">
        <f t="shared" si="36"/>
        <v>0</v>
      </c>
      <c r="S155" s="31">
        <f t="shared" si="36"/>
        <v>0</v>
      </c>
      <c r="T155" s="31">
        <f t="shared" si="36"/>
        <v>0</v>
      </c>
      <c r="U155" s="31">
        <f t="shared" si="36"/>
        <v>0</v>
      </c>
      <c r="V155" s="31">
        <f t="shared" si="36"/>
        <v>0</v>
      </c>
      <c r="W155" s="31">
        <f t="shared" si="36"/>
        <v>0</v>
      </c>
      <c r="X155" s="31">
        <f t="shared" si="36"/>
        <v>0</v>
      </c>
      <c r="Y155" s="31">
        <f t="shared" si="36"/>
        <v>0</v>
      </c>
      <c r="Z155" s="31">
        <f t="shared" si="36"/>
        <v>0</v>
      </c>
      <c r="AA155" s="31">
        <f t="shared" si="36"/>
        <v>0</v>
      </c>
      <c r="AB155" s="31">
        <f t="shared" si="36"/>
        <v>0</v>
      </c>
      <c r="AC155" s="31">
        <f t="shared" si="36"/>
        <v>0</v>
      </c>
      <c r="AD155" s="31">
        <f t="shared" si="36"/>
        <v>0</v>
      </c>
      <c r="AE155" s="31">
        <f t="shared" si="36"/>
        <v>11501.15</v>
      </c>
      <c r="AF155" s="31">
        <f t="shared" si="36"/>
        <v>0</v>
      </c>
      <c r="AG155" s="31">
        <f t="shared" si="36"/>
        <v>0</v>
      </c>
      <c r="AH155" s="107" t="s">
        <v>915</v>
      </c>
      <c r="AI155" s="107" t="s">
        <v>915</v>
      </c>
      <c r="AJ155" s="107" t="s">
        <v>915</v>
      </c>
    </row>
    <row r="156" spans="1:36" ht="61.5" x14ac:dyDescent="0.85">
      <c r="A156" s="6">
        <v>1</v>
      </c>
      <c r="B156" s="66">
        <f>SUBTOTAL(103,$A$66:A156)</f>
        <v>81</v>
      </c>
      <c r="C156" s="109" t="s">
        <v>1515</v>
      </c>
      <c r="D156" s="72" t="s">
        <v>1065</v>
      </c>
      <c r="E156" s="69">
        <v>0.9657</v>
      </c>
      <c r="F156" s="31">
        <f>G156+H156+I156+J156+K156+L156+N156+P156+R156+T156+V156+W156+X156+Y156+Z156+AA156+AB156+AC156+AD156+AE156+AF156+AG156</f>
        <v>778244.79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3">
        <v>0</v>
      </c>
      <c r="N156" s="31">
        <v>0</v>
      </c>
      <c r="O156" s="31">
        <v>972.5</v>
      </c>
      <c r="P156" s="31">
        <v>766743.64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f>ROUND(P156*1.5%,2)</f>
        <v>11501.15</v>
      </c>
      <c r="AF156" s="31">
        <v>0</v>
      </c>
      <c r="AG156" s="31">
        <v>0</v>
      </c>
      <c r="AH156" s="107" t="s">
        <v>274</v>
      </c>
      <c r="AI156" s="107">
        <v>2020</v>
      </c>
      <c r="AJ156" s="107">
        <v>2020</v>
      </c>
    </row>
    <row r="157" spans="1:36" ht="61.5" x14ac:dyDescent="0.85">
      <c r="B157" s="135" t="s">
        <v>871</v>
      </c>
      <c r="C157" s="109"/>
      <c r="D157" s="108" t="s">
        <v>915</v>
      </c>
      <c r="E157" s="69">
        <f>AVERAGE(E158:E161)</f>
        <v>0.8012999999999999</v>
      </c>
      <c r="F157" s="31">
        <f>SUM(F158:F161)</f>
        <v>969598.97000000009</v>
      </c>
      <c r="G157" s="31">
        <f t="shared" ref="G157:AG157" si="37">SUM(G158:G161)</f>
        <v>0</v>
      </c>
      <c r="H157" s="31">
        <f t="shared" si="37"/>
        <v>0</v>
      </c>
      <c r="I157" s="31">
        <f t="shared" si="37"/>
        <v>0</v>
      </c>
      <c r="J157" s="31">
        <f t="shared" si="37"/>
        <v>0</v>
      </c>
      <c r="K157" s="31">
        <f t="shared" si="37"/>
        <v>0</v>
      </c>
      <c r="L157" s="31">
        <f t="shared" si="37"/>
        <v>0</v>
      </c>
      <c r="M157" s="33">
        <f t="shared" si="37"/>
        <v>0</v>
      </c>
      <c r="N157" s="31">
        <f t="shared" si="37"/>
        <v>0</v>
      </c>
      <c r="O157" s="31">
        <f t="shared" si="37"/>
        <v>2077</v>
      </c>
      <c r="P157" s="31">
        <f t="shared" si="37"/>
        <v>725260.51</v>
      </c>
      <c r="Q157" s="31">
        <f t="shared" si="37"/>
        <v>0</v>
      </c>
      <c r="R157" s="31">
        <f t="shared" si="37"/>
        <v>0</v>
      </c>
      <c r="S157" s="31">
        <f t="shared" si="37"/>
        <v>157.6</v>
      </c>
      <c r="T157" s="31">
        <f t="shared" si="37"/>
        <v>230009.4</v>
      </c>
      <c r="U157" s="31">
        <f t="shared" si="37"/>
        <v>0</v>
      </c>
      <c r="V157" s="31">
        <f t="shared" si="37"/>
        <v>0</v>
      </c>
      <c r="W157" s="31">
        <f t="shared" si="37"/>
        <v>0</v>
      </c>
      <c r="X157" s="31">
        <f t="shared" si="37"/>
        <v>0</v>
      </c>
      <c r="Y157" s="31">
        <f t="shared" si="37"/>
        <v>0</v>
      </c>
      <c r="Z157" s="31">
        <f t="shared" si="37"/>
        <v>0</v>
      </c>
      <c r="AA157" s="31">
        <f t="shared" si="37"/>
        <v>0</v>
      </c>
      <c r="AB157" s="31">
        <f t="shared" si="37"/>
        <v>0</v>
      </c>
      <c r="AC157" s="31">
        <f t="shared" si="37"/>
        <v>0</v>
      </c>
      <c r="AD157" s="31">
        <f t="shared" si="37"/>
        <v>0</v>
      </c>
      <c r="AE157" s="31">
        <f t="shared" si="37"/>
        <v>14329.060000000001</v>
      </c>
      <c r="AF157" s="31">
        <f t="shared" si="37"/>
        <v>0</v>
      </c>
      <c r="AG157" s="31">
        <f t="shared" si="37"/>
        <v>0</v>
      </c>
      <c r="AH157" s="107" t="s">
        <v>915</v>
      </c>
      <c r="AI157" s="107" t="s">
        <v>915</v>
      </c>
      <c r="AJ157" s="107" t="s">
        <v>915</v>
      </c>
    </row>
    <row r="158" spans="1:36" ht="61.5" x14ac:dyDescent="0.85">
      <c r="A158" s="6">
        <v>1</v>
      </c>
      <c r="B158" s="66">
        <f>SUBTOTAL(103,$A$66:A158)</f>
        <v>82</v>
      </c>
      <c r="C158" s="109" t="s">
        <v>1516</v>
      </c>
      <c r="D158" s="88" t="s">
        <v>1067</v>
      </c>
      <c r="E158" s="69">
        <v>0.83589999999999998</v>
      </c>
      <c r="F158" s="31">
        <f>G158+H158+I158+J158+K158+L158+N158+P158+R158+T158+V158+W158+X158+Y158+Z158+AA158+AB158+AC158+AD158+AE158+AF158+AG158</f>
        <v>672709.20000000007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3">
        <v>0</v>
      </c>
      <c r="N158" s="31">
        <v>0</v>
      </c>
      <c r="O158" s="31">
        <v>958</v>
      </c>
      <c r="P158" s="31">
        <v>662767.68000000005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f>ROUND(P158*1.5%,2)</f>
        <v>9941.52</v>
      </c>
      <c r="AF158" s="31">
        <v>0</v>
      </c>
      <c r="AG158" s="31">
        <v>0</v>
      </c>
      <c r="AH158" s="107" t="s">
        <v>274</v>
      </c>
      <c r="AI158" s="107">
        <v>2020</v>
      </c>
      <c r="AJ158" s="107">
        <v>2020</v>
      </c>
    </row>
    <row r="159" spans="1:36" ht="61.5" x14ac:dyDescent="0.85">
      <c r="A159" s="6">
        <v>1</v>
      </c>
      <c r="B159" s="66">
        <f>SUBTOTAL(103,$A$66:A159)</f>
        <v>83</v>
      </c>
      <c r="C159" s="109" t="s">
        <v>1517</v>
      </c>
      <c r="D159" s="72" t="s">
        <v>1065</v>
      </c>
      <c r="E159" s="69">
        <v>0.86939999999999995</v>
      </c>
      <c r="F159" s="31">
        <f>G159+H159+I159+J159+K159+L159+N159+P159+R159+T159+V159+W159+X159+Y159+Z159+AA159+AB159+AC159+AD159+AE159+AF159+AG159</f>
        <v>5758.94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3">
        <v>0</v>
      </c>
      <c r="N159" s="31">
        <v>0</v>
      </c>
      <c r="O159" s="31">
        <v>611</v>
      </c>
      <c r="P159" s="31">
        <v>5673.83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f>ROUND(P159*1.5%,2)</f>
        <v>85.11</v>
      </c>
      <c r="AF159" s="31">
        <v>0</v>
      </c>
      <c r="AG159" s="31">
        <v>0</v>
      </c>
      <c r="AH159" s="107" t="s">
        <v>274</v>
      </c>
      <c r="AI159" s="107">
        <v>2020</v>
      </c>
      <c r="AJ159" s="107">
        <v>2020</v>
      </c>
    </row>
    <row r="160" spans="1:36" ht="61.5" x14ac:dyDescent="0.85">
      <c r="A160" s="6">
        <v>1</v>
      </c>
      <c r="B160" s="66">
        <f>SUBTOTAL(103,$A$66:A160)</f>
        <v>84</v>
      </c>
      <c r="C160" s="109" t="s">
        <v>1518</v>
      </c>
      <c r="D160" s="88" t="s">
        <v>1068</v>
      </c>
      <c r="E160" s="69">
        <v>0.62490000000000001</v>
      </c>
      <c r="F160" s="31">
        <f>G160+H160+I160+J160+K160+L160+N160+P160+R160+T160+V160+W160+X160+Y160+Z160+AA160+AB160+AC160+AD160+AE160+AF160+AG160</f>
        <v>233459.54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3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157.6</v>
      </c>
      <c r="T160" s="31">
        <v>230009.4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f>ROUND(T160*1.5%,2)</f>
        <v>3450.14</v>
      </c>
      <c r="AF160" s="31">
        <v>0</v>
      </c>
      <c r="AG160" s="31">
        <v>0</v>
      </c>
      <c r="AH160" s="107" t="s">
        <v>274</v>
      </c>
      <c r="AI160" s="107">
        <v>2020</v>
      </c>
      <c r="AJ160" s="107">
        <v>2020</v>
      </c>
    </row>
    <row r="161" spans="1:36" ht="61.5" x14ac:dyDescent="0.85">
      <c r="A161" s="6">
        <v>1</v>
      </c>
      <c r="B161" s="66">
        <f>SUBTOTAL(103,$A$66:A161)</f>
        <v>85</v>
      </c>
      <c r="C161" s="109" t="s">
        <v>1546</v>
      </c>
      <c r="D161" s="88" t="s">
        <v>1441</v>
      </c>
      <c r="E161" s="69">
        <v>0.875</v>
      </c>
      <c r="F161" s="31">
        <f>G161+H161+I161+J161+K161+L161+N161+P161+R161+T161+V161+W161+X161+Y161+Z161+AA161+AB161+AC161+AD161+AE161+AF161+AG161</f>
        <v>57671.29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3">
        <v>0</v>
      </c>
      <c r="N161" s="31">
        <v>0</v>
      </c>
      <c r="O161" s="31">
        <v>508</v>
      </c>
      <c r="P161" s="31">
        <v>56819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f>ROUND(P161*1.5%,2)</f>
        <v>852.29</v>
      </c>
      <c r="AF161" s="31">
        <v>0</v>
      </c>
      <c r="AG161" s="31">
        <v>0</v>
      </c>
      <c r="AH161" s="107" t="s">
        <v>274</v>
      </c>
      <c r="AI161" s="107">
        <v>2020</v>
      </c>
      <c r="AJ161" s="107">
        <v>2020</v>
      </c>
    </row>
    <row r="162" spans="1:36" ht="61.5" x14ac:dyDescent="0.85">
      <c r="B162" s="135" t="s">
        <v>895</v>
      </c>
      <c r="C162" s="109"/>
      <c r="D162" s="108" t="s">
        <v>915</v>
      </c>
      <c r="E162" s="69">
        <f>E163</f>
        <v>0.93430000000000002</v>
      </c>
      <c r="F162" s="31">
        <f>F163</f>
        <v>425208.96</v>
      </c>
      <c r="G162" s="31">
        <f t="shared" ref="G162:AG162" si="38">G163</f>
        <v>0</v>
      </c>
      <c r="H162" s="31">
        <f t="shared" si="38"/>
        <v>0</v>
      </c>
      <c r="I162" s="31">
        <f t="shared" si="38"/>
        <v>0</v>
      </c>
      <c r="J162" s="31">
        <f t="shared" si="38"/>
        <v>0</v>
      </c>
      <c r="K162" s="31">
        <f t="shared" si="38"/>
        <v>0</v>
      </c>
      <c r="L162" s="31">
        <f t="shared" si="38"/>
        <v>0</v>
      </c>
      <c r="M162" s="33">
        <f t="shared" si="38"/>
        <v>0</v>
      </c>
      <c r="N162" s="31">
        <f t="shared" si="38"/>
        <v>0</v>
      </c>
      <c r="O162" s="31">
        <f t="shared" si="38"/>
        <v>1223</v>
      </c>
      <c r="P162" s="31">
        <f t="shared" si="38"/>
        <v>425208.96</v>
      </c>
      <c r="Q162" s="31">
        <f t="shared" si="38"/>
        <v>0</v>
      </c>
      <c r="R162" s="31">
        <f t="shared" si="38"/>
        <v>0</v>
      </c>
      <c r="S162" s="31">
        <f t="shared" si="38"/>
        <v>0</v>
      </c>
      <c r="T162" s="31">
        <f t="shared" si="38"/>
        <v>0</v>
      </c>
      <c r="U162" s="31">
        <f t="shared" si="38"/>
        <v>0</v>
      </c>
      <c r="V162" s="31">
        <f t="shared" si="38"/>
        <v>0</v>
      </c>
      <c r="W162" s="31">
        <f t="shared" si="38"/>
        <v>0</v>
      </c>
      <c r="X162" s="31">
        <f t="shared" si="38"/>
        <v>0</v>
      </c>
      <c r="Y162" s="31">
        <f t="shared" si="38"/>
        <v>0</v>
      </c>
      <c r="Z162" s="31">
        <f t="shared" si="38"/>
        <v>0</v>
      </c>
      <c r="AA162" s="31">
        <f t="shared" si="38"/>
        <v>0</v>
      </c>
      <c r="AB162" s="31">
        <f t="shared" si="38"/>
        <v>0</v>
      </c>
      <c r="AC162" s="31">
        <f t="shared" si="38"/>
        <v>0</v>
      </c>
      <c r="AD162" s="31">
        <f t="shared" si="38"/>
        <v>0</v>
      </c>
      <c r="AE162" s="31">
        <f t="shared" si="38"/>
        <v>0</v>
      </c>
      <c r="AF162" s="31">
        <f t="shared" si="38"/>
        <v>0</v>
      </c>
      <c r="AG162" s="31">
        <f t="shared" si="38"/>
        <v>0</v>
      </c>
      <c r="AH162" s="107" t="s">
        <v>915</v>
      </c>
      <c r="AI162" s="107" t="s">
        <v>915</v>
      </c>
      <c r="AJ162" s="107" t="s">
        <v>915</v>
      </c>
    </row>
    <row r="163" spans="1:36" ht="61.5" x14ac:dyDescent="0.85">
      <c r="A163" s="6">
        <v>1</v>
      </c>
      <c r="B163" s="66">
        <f>SUBTOTAL(103,$A$66:A163)</f>
        <v>86</v>
      </c>
      <c r="C163" s="109" t="s">
        <v>1519</v>
      </c>
      <c r="D163" s="88" t="s">
        <v>1068</v>
      </c>
      <c r="E163" s="69">
        <v>0.93430000000000002</v>
      </c>
      <c r="F163" s="31">
        <f>G163+H163+I163+J163+K163+L163+N163+P163+R163+T163+V163+W163+X163+Y163+Z163+AA163+AB163+AC163+AD163+AE163+AF163+AG163</f>
        <v>425208.96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3">
        <v>0</v>
      </c>
      <c r="N163" s="31">
        <v>0</v>
      </c>
      <c r="O163" s="31">
        <v>1223</v>
      </c>
      <c r="P163" s="31">
        <v>425208.96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107" t="s">
        <v>274</v>
      </c>
      <c r="AI163" s="107">
        <v>2020</v>
      </c>
      <c r="AJ163" s="107" t="s">
        <v>274</v>
      </c>
    </row>
    <row r="164" spans="1:36" ht="61.5" x14ac:dyDescent="0.85">
      <c r="B164" s="135" t="s">
        <v>856</v>
      </c>
      <c r="C164" s="109"/>
      <c r="D164" s="108" t="s">
        <v>915</v>
      </c>
      <c r="E164" s="69">
        <f>E165</f>
        <v>0.96641898912086177</v>
      </c>
      <c r="F164" s="31">
        <f>F165</f>
        <v>354821.67</v>
      </c>
      <c r="G164" s="31">
        <f t="shared" ref="G164:AG164" si="39">G165</f>
        <v>0</v>
      </c>
      <c r="H164" s="31">
        <f t="shared" si="39"/>
        <v>0</v>
      </c>
      <c r="I164" s="31">
        <f t="shared" si="39"/>
        <v>0</v>
      </c>
      <c r="J164" s="31">
        <f t="shared" si="39"/>
        <v>0</v>
      </c>
      <c r="K164" s="31">
        <f t="shared" si="39"/>
        <v>0</v>
      </c>
      <c r="L164" s="31">
        <f t="shared" si="39"/>
        <v>0</v>
      </c>
      <c r="M164" s="33">
        <f t="shared" si="39"/>
        <v>0</v>
      </c>
      <c r="N164" s="31">
        <f t="shared" si="39"/>
        <v>0</v>
      </c>
      <c r="O164" s="31">
        <f t="shared" si="39"/>
        <v>729.8</v>
      </c>
      <c r="P164" s="31">
        <f t="shared" si="39"/>
        <v>349578</v>
      </c>
      <c r="Q164" s="31">
        <f t="shared" si="39"/>
        <v>0</v>
      </c>
      <c r="R164" s="31">
        <f t="shared" si="39"/>
        <v>0</v>
      </c>
      <c r="S164" s="31">
        <f t="shared" si="39"/>
        <v>0</v>
      </c>
      <c r="T164" s="31">
        <f t="shared" si="39"/>
        <v>0</v>
      </c>
      <c r="U164" s="31">
        <f t="shared" si="39"/>
        <v>0</v>
      </c>
      <c r="V164" s="31">
        <f t="shared" si="39"/>
        <v>0</v>
      </c>
      <c r="W164" s="31">
        <f t="shared" si="39"/>
        <v>0</v>
      </c>
      <c r="X164" s="31">
        <f t="shared" si="39"/>
        <v>0</v>
      </c>
      <c r="Y164" s="31">
        <f t="shared" si="39"/>
        <v>0</v>
      </c>
      <c r="Z164" s="31">
        <f t="shared" si="39"/>
        <v>0</v>
      </c>
      <c r="AA164" s="31">
        <f t="shared" si="39"/>
        <v>0</v>
      </c>
      <c r="AB164" s="31">
        <f t="shared" si="39"/>
        <v>0</v>
      </c>
      <c r="AC164" s="31">
        <f t="shared" si="39"/>
        <v>0</v>
      </c>
      <c r="AD164" s="31">
        <f t="shared" si="39"/>
        <v>0</v>
      </c>
      <c r="AE164" s="31">
        <f t="shared" si="39"/>
        <v>5243.67</v>
      </c>
      <c r="AF164" s="31">
        <f t="shared" si="39"/>
        <v>0</v>
      </c>
      <c r="AG164" s="31">
        <f t="shared" si="39"/>
        <v>0</v>
      </c>
      <c r="AH164" s="107" t="s">
        <v>915</v>
      </c>
      <c r="AI164" s="107" t="s">
        <v>915</v>
      </c>
      <c r="AJ164" s="107" t="s">
        <v>915</v>
      </c>
    </row>
    <row r="165" spans="1:36" ht="61.5" x14ac:dyDescent="0.85">
      <c r="A165" s="6">
        <v>1</v>
      </c>
      <c r="B165" s="66">
        <f>SUBTOTAL(103,$A$66:A165)</f>
        <v>87</v>
      </c>
      <c r="C165" s="109" t="s">
        <v>1520</v>
      </c>
      <c r="D165" s="108" t="s">
        <v>1066</v>
      </c>
      <c r="E165" s="69">
        <v>0.96641898912086177</v>
      </c>
      <c r="F165" s="31">
        <f>G165+H165+I165+J165+K165+L165+N165+P165+R165+T165+V165+W165+X165+Y165+Z165+AA165+AB165+AC165+AD165+AE165+AF165+AG165</f>
        <v>354821.67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3">
        <v>0</v>
      </c>
      <c r="N165" s="31">
        <v>0</v>
      </c>
      <c r="O165" s="31">
        <v>729.8</v>
      </c>
      <c r="P165" s="31">
        <v>349578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f>ROUND(P165*1.5%,2)</f>
        <v>5243.67</v>
      </c>
      <c r="AF165" s="31">
        <v>0</v>
      </c>
      <c r="AG165" s="31">
        <v>0</v>
      </c>
      <c r="AH165" s="107" t="s">
        <v>274</v>
      </c>
      <c r="AI165" s="107">
        <v>2020</v>
      </c>
      <c r="AJ165" s="107">
        <v>2020</v>
      </c>
    </row>
    <row r="166" spans="1:36" ht="61.5" x14ac:dyDescent="0.85">
      <c r="B166" s="135" t="s">
        <v>868</v>
      </c>
      <c r="C166" s="109"/>
      <c r="D166" s="108" t="s">
        <v>915</v>
      </c>
      <c r="E166" s="69">
        <f>AVERAGE(E167:E168)</f>
        <v>0.79569999999999996</v>
      </c>
      <c r="F166" s="31">
        <f>F167+F168</f>
        <v>1988549.43</v>
      </c>
      <c r="G166" s="31">
        <f t="shared" ref="G166:AF166" si="40">G167+G168</f>
        <v>0</v>
      </c>
      <c r="H166" s="31">
        <f t="shared" si="40"/>
        <v>0</v>
      </c>
      <c r="I166" s="31">
        <f t="shared" si="40"/>
        <v>0</v>
      </c>
      <c r="J166" s="31">
        <f t="shared" si="40"/>
        <v>0</v>
      </c>
      <c r="K166" s="31">
        <f t="shared" si="40"/>
        <v>0</v>
      </c>
      <c r="L166" s="31">
        <f t="shared" si="40"/>
        <v>0</v>
      </c>
      <c r="M166" s="33">
        <f t="shared" si="40"/>
        <v>0</v>
      </c>
      <c r="N166" s="31">
        <f t="shared" si="40"/>
        <v>0</v>
      </c>
      <c r="O166" s="31">
        <f t="shared" si="40"/>
        <v>4741.7</v>
      </c>
      <c r="P166" s="31">
        <f t="shared" si="40"/>
        <v>1959162</v>
      </c>
      <c r="Q166" s="31">
        <f t="shared" si="40"/>
        <v>0</v>
      </c>
      <c r="R166" s="31">
        <f t="shared" si="40"/>
        <v>0</v>
      </c>
      <c r="S166" s="31">
        <f t="shared" si="40"/>
        <v>0</v>
      </c>
      <c r="T166" s="31">
        <f t="shared" si="40"/>
        <v>0</v>
      </c>
      <c r="U166" s="31">
        <f t="shared" si="40"/>
        <v>0</v>
      </c>
      <c r="V166" s="31">
        <f t="shared" si="40"/>
        <v>0</v>
      </c>
      <c r="W166" s="31">
        <f t="shared" si="40"/>
        <v>0</v>
      </c>
      <c r="X166" s="31">
        <f t="shared" si="40"/>
        <v>0</v>
      </c>
      <c r="Y166" s="31">
        <f t="shared" si="40"/>
        <v>0</v>
      </c>
      <c r="Z166" s="31">
        <f t="shared" si="40"/>
        <v>0</v>
      </c>
      <c r="AA166" s="31">
        <f t="shared" si="40"/>
        <v>0</v>
      </c>
      <c r="AB166" s="31">
        <f t="shared" si="40"/>
        <v>0</v>
      </c>
      <c r="AC166" s="31">
        <f t="shared" si="40"/>
        <v>0</v>
      </c>
      <c r="AD166" s="31">
        <f t="shared" si="40"/>
        <v>0</v>
      </c>
      <c r="AE166" s="31">
        <f t="shared" si="40"/>
        <v>29387.43</v>
      </c>
      <c r="AF166" s="31">
        <f t="shared" si="40"/>
        <v>0</v>
      </c>
      <c r="AG166" s="31">
        <f>AG167+AG168</f>
        <v>0</v>
      </c>
      <c r="AH166" s="107" t="s">
        <v>915</v>
      </c>
      <c r="AI166" s="107" t="s">
        <v>915</v>
      </c>
      <c r="AJ166" s="107" t="s">
        <v>915</v>
      </c>
    </row>
    <row r="167" spans="1:36" ht="61.5" x14ac:dyDescent="0.85">
      <c r="A167" s="6">
        <v>1</v>
      </c>
      <c r="B167" s="66">
        <f>SUBTOTAL(103,$A$66:A167)</f>
        <v>88</v>
      </c>
      <c r="C167" s="109" t="s">
        <v>1521</v>
      </c>
      <c r="D167" s="72" t="s">
        <v>1435</v>
      </c>
      <c r="E167" s="69">
        <v>0.87239999999999995</v>
      </c>
      <c r="F167" s="31">
        <f>G167+H167+I167+J167+K167+L167+N167+P167+R167+T167+V167+W167+X167+Y167+Z167+AA167+AB167+AC167+AD167+AE167+AF167+AG167</f>
        <v>83534.5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3">
        <v>0</v>
      </c>
      <c r="N167" s="31">
        <v>0</v>
      </c>
      <c r="O167" s="31">
        <v>2780.7</v>
      </c>
      <c r="P167" s="31">
        <v>82300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f>ROUND(P167*1.5%,2)</f>
        <v>1234.5</v>
      </c>
      <c r="AF167" s="31">
        <v>0</v>
      </c>
      <c r="AG167" s="31">
        <v>0</v>
      </c>
      <c r="AH167" s="107" t="s">
        <v>274</v>
      </c>
      <c r="AI167" s="107">
        <v>2020</v>
      </c>
      <c r="AJ167" s="107">
        <v>2020</v>
      </c>
    </row>
    <row r="168" spans="1:36" ht="61.5" x14ac:dyDescent="0.85">
      <c r="A168" s="6">
        <v>1</v>
      </c>
      <c r="B168" s="66">
        <f>SUBTOTAL(103,$A$66:A168)</f>
        <v>89</v>
      </c>
      <c r="C168" s="109" t="s">
        <v>1522</v>
      </c>
      <c r="D168" s="72" t="s">
        <v>1067</v>
      </c>
      <c r="E168" s="69">
        <v>0.71899999999999997</v>
      </c>
      <c r="F168" s="31">
        <f>G168+H168+I168+J168+K168+L168+N168+P168+R168+T168+V168+W168+X168+Y168+Z168+AA168+AB168+AC168+AD168+AE168+AF168+AG168</f>
        <v>1905014.93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3">
        <v>0</v>
      </c>
      <c r="N168" s="31">
        <v>0</v>
      </c>
      <c r="O168" s="31">
        <v>1961</v>
      </c>
      <c r="P168" s="31">
        <v>1876862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f>ROUND(P168*1.5%,2)</f>
        <v>28152.93</v>
      </c>
      <c r="AF168" s="31">
        <v>0</v>
      </c>
      <c r="AG168" s="31">
        <v>0</v>
      </c>
      <c r="AH168" s="107" t="s">
        <v>274</v>
      </c>
      <c r="AI168" s="107">
        <v>2020</v>
      </c>
      <c r="AJ168" s="107">
        <v>2020</v>
      </c>
    </row>
    <row r="169" spans="1:36" ht="61.5" x14ac:dyDescent="0.85">
      <c r="B169" s="135" t="s">
        <v>908</v>
      </c>
      <c r="C169" s="109"/>
      <c r="D169" s="108" t="s">
        <v>915</v>
      </c>
      <c r="E169" s="69">
        <f>AVERAGE(E170:E171)</f>
        <v>0.85729999999999995</v>
      </c>
      <c r="F169" s="31">
        <f>F170+F171</f>
        <v>582142.44999999995</v>
      </c>
      <c r="G169" s="31">
        <f t="shared" ref="G169:AG169" si="41">G170+G171</f>
        <v>0</v>
      </c>
      <c r="H169" s="31">
        <f t="shared" si="41"/>
        <v>0</v>
      </c>
      <c r="I169" s="31">
        <f t="shared" si="41"/>
        <v>0</v>
      </c>
      <c r="J169" s="31">
        <f t="shared" si="41"/>
        <v>0</v>
      </c>
      <c r="K169" s="31">
        <f t="shared" si="41"/>
        <v>0</v>
      </c>
      <c r="L169" s="31">
        <f t="shared" si="41"/>
        <v>0</v>
      </c>
      <c r="M169" s="33">
        <f t="shared" si="41"/>
        <v>0</v>
      </c>
      <c r="N169" s="31">
        <f t="shared" si="41"/>
        <v>0</v>
      </c>
      <c r="O169" s="31">
        <f t="shared" si="41"/>
        <v>1452.8</v>
      </c>
      <c r="P169" s="31">
        <f t="shared" si="41"/>
        <v>573539.36</v>
      </c>
      <c r="Q169" s="31">
        <f t="shared" si="41"/>
        <v>0</v>
      </c>
      <c r="R169" s="31">
        <f t="shared" si="41"/>
        <v>0</v>
      </c>
      <c r="S169" s="31">
        <f t="shared" si="41"/>
        <v>0</v>
      </c>
      <c r="T169" s="31">
        <f t="shared" si="41"/>
        <v>0</v>
      </c>
      <c r="U169" s="31">
        <f t="shared" si="41"/>
        <v>0</v>
      </c>
      <c r="V169" s="31">
        <f t="shared" si="41"/>
        <v>0</v>
      </c>
      <c r="W169" s="31">
        <f t="shared" si="41"/>
        <v>0</v>
      </c>
      <c r="X169" s="31">
        <f t="shared" si="41"/>
        <v>0</v>
      </c>
      <c r="Y169" s="31">
        <f t="shared" si="41"/>
        <v>0</v>
      </c>
      <c r="Z169" s="31">
        <f t="shared" si="41"/>
        <v>0</v>
      </c>
      <c r="AA169" s="31">
        <f t="shared" si="41"/>
        <v>0</v>
      </c>
      <c r="AB169" s="31">
        <f t="shared" si="41"/>
        <v>0</v>
      </c>
      <c r="AC169" s="31">
        <f t="shared" si="41"/>
        <v>0</v>
      </c>
      <c r="AD169" s="31">
        <f t="shared" si="41"/>
        <v>0</v>
      </c>
      <c r="AE169" s="31">
        <f t="shared" si="41"/>
        <v>8603.09</v>
      </c>
      <c r="AF169" s="31">
        <f t="shared" si="41"/>
        <v>0</v>
      </c>
      <c r="AG169" s="31">
        <f t="shared" si="41"/>
        <v>0</v>
      </c>
      <c r="AH169" s="107" t="s">
        <v>915</v>
      </c>
      <c r="AI169" s="107" t="s">
        <v>915</v>
      </c>
      <c r="AJ169" s="107" t="s">
        <v>915</v>
      </c>
    </row>
    <row r="170" spans="1:36" ht="61.5" x14ac:dyDescent="0.85">
      <c r="A170" s="6">
        <v>1</v>
      </c>
      <c r="B170" s="66">
        <f>SUBTOTAL(103,$A$66:A170)</f>
        <v>90</v>
      </c>
      <c r="C170" s="109" t="s">
        <v>1523</v>
      </c>
      <c r="D170" s="72" t="s">
        <v>1065</v>
      </c>
      <c r="E170" s="69">
        <v>0.75539999999999996</v>
      </c>
      <c r="F170" s="31">
        <f>G170+H170+I170+J170+K170+L170+N170+P170+R170+T170+V170+W170+X170+Y170+Z170+AA170+AB170+AC170+AD170+AE170+AF170+AG170</f>
        <v>551387.0199999999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3">
        <v>0</v>
      </c>
      <c r="N170" s="31">
        <v>0</v>
      </c>
      <c r="O170" s="31">
        <v>749</v>
      </c>
      <c r="P170" s="31">
        <v>543238.43999999994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0</v>
      </c>
      <c r="AE170" s="31">
        <f>ROUND(P170*1.5%,2)</f>
        <v>8148.58</v>
      </c>
      <c r="AF170" s="31">
        <v>0</v>
      </c>
      <c r="AG170" s="31">
        <v>0</v>
      </c>
      <c r="AH170" s="107" t="s">
        <v>274</v>
      </c>
      <c r="AI170" s="107">
        <v>2020</v>
      </c>
      <c r="AJ170" s="107">
        <v>2020</v>
      </c>
    </row>
    <row r="171" spans="1:36" ht="61.5" x14ac:dyDescent="0.85">
      <c r="A171" s="6">
        <v>1</v>
      </c>
      <c r="B171" s="66">
        <f>SUBTOTAL(103,$A$66:A171)</f>
        <v>91</v>
      </c>
      <c r="C171" s="109" t="s">
        <v>1524</v>
      </c>
      <c r="D171" s="72" t="s">
        <v>1070</v>
      </c>
      <c r="E171" s="69">
        <v>0.95920000000000005</v>
      </c>
      <c r="F171" s="31">
        <f>G171+H171+I171+J171+K171+L171+N171+P171+R171+T171+V171+W171+X171+Y171+Z171+AA171+AB171+AC171+AD171+AE171+AF171+AG171</f>
        <v>30755.429999999997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3">
        <v>0</v>
      </c>
      <c r="N171" s="31">
        <v>0</v>
      </c>
      <c r="O171" s="31">
        <v>703.8</v>
      </c>
      <c r="P171" s="31">
        <v>30300.92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f>ROUND(P171*1.5%,2)</f>
        <v>454.51</v>
      </c>
      <c r="AF171" s="31">
        <v>0</v>
      </c>
      <c r="AG171" s="31">
        <v>0</v>
      </c>
      <c r="AH171" s="107" t="s">
        <v>274</v>
      </c>
      <c r="AI171" s="107">
        <v>2020</v>
      </c>
      <c r="AJ171" s="107">
        <v>2020</v>
      </c>
    </row>
    <row r="172" spans="1:36" ht="61.5" x14ac:dyDescent="0.85">
      <c r="B172" s="135" t="s">
        <v>882</v>
      </c>
      <c r="C172" s="109"/>
      <c r="D172" s="108" t="s">
        <v>915</v>
      </c>
      <c r="E172" s="69">
        <f>E173</f>
        <v>0.95309999999999995</v>
      </c>
      <c r="F172" s="31">
        <f>F173</f>
        <v>39585</v>
      </c>
      <c r="G172" s="31">
        <f t="shared" ref="G172:AG172" si="42">G173</f>
        <v>0</v>
      </c>
      <c r="H172" s="31">
        <f t="shared" si="42"/>
        <v>0</v>
      </c>
      <c r="I172" s="31">
        <f t="shared" si="42"/>
        <v>0</v>
      </c>
      <c r="J172" s="31">
        <f t="shared" si="42"/>
        <v>0</v>
      </c>
      <c r="K172" s="31">
        <f t="shared" si="42"/>
        <v>0</v>
      </c>
      <c r="L172" s="31">
        <f t="shared" si="42"/>
        <v>0</v>
      </c>
      <c r="M172" s="33">
        <f t="shared" si="42"/>
        <v>0</v>
      </c>
      <c r="N172" s="31">
        <f t="shared" si="42"/>
        <v>0</v>
      </c>
      <c r="O172" s="31">
        <f t="shared" si="42"/>
        <v>544</v>
      </c>
      <c r="P172" s="31">
        <f t="shared" si="42"/>
        <v>39000</v>
      </c>
      <c r="Q172" s="31">
        <f t="shared" si="42"/>
        <v>0</v>
      </c>
      <c r="R172" s="31">
        <f t="shared" si="42"/>
        <v>0</v>
      </c>
      <c r="S172" s="31">
        <f t="shared" si="42"/>
        <v>0</v>
      </c>
      <c r="T172" s="31">
        <f t="shared" si="42"/>
        <v>0</v>
      </c>
      <c r="U172" s="31">
        <f t="shared" si="42"/>
        <v>0</v>
      </c>
      <c r="V172" s="31">
        <f t="shared" si="42"/>
        <v>0</v>
      </c>
      <c r="W172" s="31">
        <f t="shared" si="42"/>
        <v>0</v>
      </c>
      <c r="X172" s="31">
        <f t="shared" si="42"/>
        <v>0</v>
      </c>
      <c r="Y172" s="31">
        <f t="shared" si="42"/>
        <v>0</v>
      </c>
      <c r="Z172" s="31">
        <f t="shared" si="42"/>
        <v>0</v>
      </c>
      <c r="AA172" s="31">
        <f t="shared" si="42"/>
        <v>0</v>
      </c>
      <c r="AB172" s="31">
        <f t="shared" si="42"/>
        <v>0</v>
      </c>
      <c r="AC172" s="31">
        <f t="shared" si="42"/>
        <v>0</v>
      </c>
      <c r="AD172" s="31">
        <f t="shared" si="42"/>
        <v>0</v>
      </c>
      <c r="AE172" s="31">
        <f t="shared" si="42"/>
        <v>585</v>
      </c>
      <c r="AF172" s="31">
        <f t="shared" si="42"/>
        <v>0</v>
      </c>
      <c r="AG172" s="31">
        <f t="shared" si="42"/>
        <v>0</v>
      </c>
      <c r="AH172" s="107" t="s">
        <v>915</v>
      </c>
      <c r="AI172" s="107" t="s">
        <v>915</v>
      </c>
      <c r="AJ172" s="107" t="s">
        <v>915</v>
      </c>
    </row>
    <row r="173" spans="1:36" ht="61.5" x14ac:dyDescent="0.85">
      <c r="A173" s="6">
        <v>1</v>
      </c>
      <c r="B173" s="66">
        <f>SUBTOTAL(103,$A$66:A173)</f>
        <v>92</v>
      </c>
      <c r="C173" s="109" t="s">
        <v>1525</v>
      </c>
      <c r="D173" s="72" t="s">
        <v>1067</v>
      </c>
      <c r="E173" s="69">
        <v>0.95309999999999995</v>
      </c>
      <c r="F173" s="31">
        <f>G173+H173+I173+J173+K173+L173+N173+P173+R173+T173+V173+W173+X173+Y173+Z173+AA173+AB173+AC173+AD173+AE173+AF173+AG173</f>
        <v>39585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3">
        <v>0</v>
      </c>
      <c r="N173" s="31">
        <v>0</v>
      </c>
      <c r="O173" s="31">
        <v>544</v>
      </c>
      <c r="P173" s="31">
        <v>39000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f>ROUND(P173*1.5%,2)</f>
        <v>585</v>
      </c>
      <c r="AF173" s="31">
        <v>0</v>
      </c>
      <c r="AG173" s="31">
        <v>0</v>
      </c>
      <c r="AH173" s="107" t="s">
        <v>274</v>
      </c>
      <c r="AI173" s="107">
        <v>2020</v>
      </c>
      <c r="AJ173" s="107">
        <v>2020</v>
      </c>
    </row>
    <row r="174" spans="1:36" ht="61.5" x14ac:dyDescent="0.85">
      <c r="B174" s="135" t="s">
        <v>850</v>
      </c>
      <c r="C174" s="109"/>
      <c r="D174" s="108" t="s">
        <v>915</v>
      </c>
      <c r="E174" s="69">
        <f>E175</f>
        <v>0.81220000000000003</v>
      </c>
      <c r="F174" s="31">
        <f>F175</f>
        <v>275468.56</v>
      </c>
      <c r="G174" s="31">
        <f t="shared" ref="G174:AG174" si="43">G175</f>
        <v>0</v>
      </c>
      <c r="H174" s="31">
        <f t="shared" si="43"/>
        <v>0</v>
      </c>
      <c r="I174" s="31">
        <f t="shared" si="43"/>
        <v>0</v>
      </c>
      <c r="J174" s="31">
        <f t="shared" si="43"/>
        <v>0</v>
      </c>
      <c r="K174" s="31">
        <f t="shared" si="43"/>
        <v>0</v>
      </c>
      <c r="L174" s="31">
        <f t="shared" si="43"/>
        <v>0</v>
      </c>
      <c r="M174" s="33">
        <f t="shared" si="43"/>
        <v>0</v>
      </c>
      <c r="N174" s="31">
        <f t="shared" si="43"/>
        <v>0</v>
      </c>
      <c r="O174" s="31">
        <f t="shared" si="43"/>
        <v>708</v>
      </c>
      <c r="P174" s="31">
        <f t="shared" si="43"/>
        <v>271397.59999999998</v>
      </c>
      <c r="Q174" s="31">
        <f t="shared" si="43"/>
        <v>0</v>
      </c>
      <c r="R174" s="31">
        <f t="shared" si="43"/>
        <v>0</v>
      </c>
      <c r="S174" s="31">
        <f t="shared" si="43"/>
        <v>0</v>
      </c>
      <c r="T174" s="31">
        <f t="shared" si="43"/>
        <v>0</v>
      </c>
      <c r="U174" s="31">
        <f t="shared" si="43"/>
        <v>0</v>
      </c>
      <c r="V174" s="31">
        <f t="shared" si="43"/>
        <v>0</v>
      </c>
      <c r="W174" s="31">
        <f t="shared" si="43"/>
        <v>0</v>
      </c>
      <c r="X174" s="31">
        <f t="shared" si="43"/>
        <v>0</v>
      </c>
      <c r="Y174" s="31">
        <f t="shared" si="43"/>
        <v>0</v>
      </c>
      <c r="Z174" s="31">
        <f t="shared" si="43"/>
        <v>0</v>
      </c>
      <c r="AA174" s="31">
        <f t="shared" si="43"/>
        <v>0</v>
      </c>
      <c r="AB174" s="31">
        <f t="shared" si="43"/>
        <v>0</v>
      </c>
      <c r="AC174" s="31">
        <f t="shared" si="43"/>
        <v>0</v>
      </c>
      <c r="AD174" s="31">
        <f t="shared" si="43"/>
        <v>0</v>
      </c>
      <c r="AE174" s="31">
        <f t="shared" si="43"/>
        <v>4070.96</v>
      </c>
      <c r="AF174" s="31">
        <f t="shared" si="43"/>
        <v>0</v>
      </c>
      <c r="AG174" s="31">
        <f t="shared" si="43"/>
        <v>0</v>
      </c>
      <c r="AH174" s="107" t="s">
        <v>915</v>
      </c>
      <c r="AI174" s="107" t="s">
        <v>915</v>
      </c>
      <c r="AJ174" s="107" t="s">
        <v>915</v>
      </c>
    </row>
    <row r="175" spans="1:36" ht="61.5" x14ac:dyDescent="0.85">
      <c r="A175" s="6">
        <v>1</v>
      </c>
      <c r="B175" s="66">
        <f>SUBTOTAL(103,$A$66:A175)</f>
        <v>93</v>
      </c>
      <c r="C175" s="109" t="s">
        <v>1526</v>
      </c>
      <c r="D175" s="72" t="s">
        <v>1064</v>
      </c>
      <c r="E175" s="69">
        <v>0.81220000000000003</v>
      </c>
      <c r="F175" s="31">
        <f>G175+H175+I175+J175+K175+L175+N175+P175+R175+T175+V175+W175+X175+Y175+Z175+AA175+AB175+AC175+AD175+AE175+AF175+AG175</f>
        <v>275468.56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3">
        <v>0</v>
      </c>
      <c r="N175" s="31">
        <v>0</v>
      </c>
      <c r="O175" s="31">
        <v>708</v>
      </c>
      <c r="P175" s="31">
        <v>271397.59999999998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f>ROUND(P175*1.5%,2)</f>
        <v>4070.96</v>
      </c>
      <c r="AF175" s="31">
        <v>0</v>
      </c>
      <c r="AG175" s="31">
        <v>0</v>
      </c>
      <c r="AH175" s="107" t="s">
        <v>274</v>
      </c>
      <c r="AI175" s="107">
        <v>2020</v>
      </c>
      <c r="AJ175" s="107">
        <v>2020</v>
      </c>
    </row>
    <row r="176" spans="1:36" ht="61.5" x14ac:dyDescent="0.85">
      <c r="B176" s="135" t="s">
        <v>877</v>
      </c>
      <c r="C176" s="109"/>
      <c r="D176" s="108" t="s">
        <v>915</v>
      </c>
      <c r="E176" s="69">
        <f>AVERAGE(E177:E179)</f>
        <v>0.91273333333333329</v>
      </c>
      <c r="F176" s="31">
        <f>F177+F178+F179</f>
        <v>274179.65000000002</v>
      </c>
      <c r="G176" s="31">
        <f t="shared" ref="G176:AG176" si="44">G177+G178+G179</f>
        <v>0</v>
      </c>
      <c r="H176" s="31">
        <f t="shared" si="44"/>
        <v>0</v>
      </c>
      <c r="I176" s="31">
        <f t="shared" si="44"/>
        <v>175721.62</v>
      </c>
      <c r="J176" s="31">
        <f t="shared" si="44"/>
        <v>0</v>
      </c>
      <c r="K176" s="31">
        <f t="shared" si="44"/>
        <v>0</v>
      </c>
      <c r="L176" s="31">
        <f t="shared" si="44"/>
        <v>0</v>
      </c>
      <c r="M176" s="33">
        <f t="shared" si="44"/>
        <v>0</v>
      </c>
      <c r="N176" s="31">
        <f t="shared" si="44"/>
        <v>0</v>
      </c>
      <c r="O176" s="31">
        <f t="shared" si="44"/>
        <v>1779.9</v>
      </c>
      <c r="P176" s="31">
        <f t="shared" si="44"/>
        <v>94406.12000000001</v>
      </c>
      <c r="Q176" s="31">
        <f t="shared" si="44"/>
        <v>0</v>
      </c>
      <c r="R176" s="31">
        <f t="shared" si="44"/>
        <v>0</v>
      </c>
      <c r="S176" s="31">
        <f t="shared" si="44"/>
        <v>0</v>
      </c>
      <c r="T176" s="31">
        <f t="shared" si="44"/>
        <v>0</v>
      </c>
      <c r="U176" s="31">
        <f t="shared" si="44"/>
        <v>0</v>
      </c>
      <c r="V176" s="31">
        <f t="shared" si="44"/>
        <v>0</v>
      </c>
      <c r="W176" s="31">
        <f t="shared" si="44"/>
        <v>0</v>
      </c>
      <c r="X176" s="31">
        <f t="shared" si="44"/>
        <v>0</v>
      </c>
      <c r="Y176" s="31">
        <f t="shared" si="44"/>
        <v>0</v>
      </c>
      <c r="Z176" s="31">
        <f t="shared" si="44"/>
        <v>0</v>
      </c>
      <c r="AA176" s="31">
        <f t="shared" si="44"/>
        <v>0</v>
      </c>
      <c r="AB176" s="31">
        <f t="shared" si="44"/>
        <v>0</v>
      </c>
      <c r="AC176" s="31">
        <f t="shared" si="44"/>
        <v>0</v>
      </c>
      <c r="AD176" s="31">
        <f t="shared" si="44"/>
        <v>0</v>
      </c>
      <c r="AE176" s="31">
        <f t="shared" si="44"/>
        <v>4051.91</v>
      </c>
      <c r="AF176" s="31">
        <f t="shared" si="44"/>
        <v>0</v>
      </c>
      <c r="AG176" s="31">
        <f t="shared" si="44"/>
        <v>0</v>
      </c>
      <c r="AH176" s="107" t="s">
        <v>915</v>
      </c>
      <c r="AI176" s="107" t="s">
        <v>915</v>
      </c>
      <c r="AJ176" s="107" t="s">
        <v>915</v>
      </c>
    </row>
    <row r="177" spans="1:36" ht="61.5" x14ac:dyDescent="0.85">
      <c r="A177" s="6">
        <v>1</v>
      </c>
      <c r="B177" s="66">
        <f>SUBTOTAL(103,$A$66:A177)</f>
        <v>94</v>
      </c>
      <c r="C177" s="109" t="s">
        <v>1527</v>
      </c>
      <c r="D177" s="108" t="s">
        <v>1441</v>
      </c>
      <c r="E177" s="69">
        <v>0.96160000000000001</v>
      </c>
      <c r="F177" s="31">
        <f>G177+H177+I177+J177+K177+L177+N177+P177+R177+T177+V177+W177+X177+Y177+Z177+AA177+AB177+AC177+AD177+AE177+AF177+AG177</f>
        <v>82303.180000000008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3">
        <v>0</v>
      </c>
      <c r="N177" s="31">
        <v>0</v>
      </c>
      <c r="O177" s="31">
        <v>1245.4000000000001</v>
      </c>
      <c r="P177" s="31">
        <v>81086.880000000005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f>ROUND(P177*1.5%,2)</f>
        <v>1216.3</v>
      </c>
      <c r="AF177" s="31">
        <v>0</v>
      </c>
      <c r="AG177" s="31">
        <v>0</v>
      </c>
      <c r="AH177" s="107" t="s">
        <v>274</v>
      </c>
      <c r="AI177" s="107">
        <v>2020</v>
      </c>
      <c r="AJ177" s="107">
        <v>2020</v>
      </c>
    </row>
    <row r="178" spans="1:36" ht="61.5" x14ac:dyDescent="0.85">
      <c r="A178" s="6">
        <v>1</v>
      </c>
      <c r="B178" s="66">
        <f>SUBTOTAL(103,$A$66:A178)</f>
        <v>95</v>
      </c>
      <c r="C178" s="109" t="s">
        <v>1528</v>
      </c>
      <c r="D178" s="108" t="s">
        <v>1064</v>
      </c>
      <c r="E178" s="69">
        <v>0.92120000000000002</v>
      </c>
      <c r="F178" s="31">
        <f>G178+H178+I178+J178+K178+L178+N178+P178+R178+T178+V178+W178+X178+Y178+Z178+AA178+AB178+AC178+AD178+AE178+AF178+AG178</f>
        <v>13519.03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3">
        <v>0</v>
      </c>
      <c r="N178" s="31">
        <v>0</v>
      </c>
      <c r="O178" s="31">
        <v>534.5</v>
      </c>
      <c r="P178" s="31">
        <v>13319.24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f>ROUND(P178*1.5%,2)</f>
        <v>199.79</v>
      </c>
      <c r="AF178" s="31">
        <v>0</v>
      </c>
      <c r="AG178" s="31">
        <v>0</v>
      </c>
      <c r="AH178" s="107" t="s">
        <v>274</v>
      </c>
      <c r="AI178" s="107">
        <v>2020</v>
      </c>
      <c r="AJ178" s="107">
        <v>2020</v>
      </c>
    </row>
    <row r="179" spans="1:36" ht="61.5" x14ac:dyDescent="0.85">
      <c r="A179" s="6">
        <v>1</v>
      </c>
      <c r="B179" s="66">
        <f>SUBTOTAL(103,$A$66:A179)</f>
        <v>96</v>
      </c>
      <c r="C179" s="109" t="s">
        <v>1529</v>
      </c>
      <c r="D179" s="108" t="s">
        <v>1064</v>
      </c>
      <c r="E179" s="69">
        <v>0.85540000000000005</v>
      </c>
      <c r="F179" s="31">
        <f>G179+H179+I179+J179+K179+L179+N179+P179+R179+T179+V179+W179+X179+Y179+Z179+AA179+AB179+AC179+AD179+AE179+AF179+AG179</f>
        <v>178357.44</v>
      </c>
      <c r="G179" s="31">
        <v>0</v>
      </c>
      <c r="H179" s="31">
        <v>0</v>
      </c>
      <c r="I179" s="31">
        <v>175721.62</v>
      </c>
      <c r="J179" s="31">
        <v>0</v>
      </c>
      <c r="K179" s="31">
        <v>0</v>
      </c>
      <c r="L179" s="31">
        <v>0</v>
      </c>
      <c r="M179" s="33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f>ROUND(I179*1.5%,2)</f>
        <v>2635.82</v>
      </c>
      <c r="AF179" s="31">
        <v>0</v>
      </c>
      <c r="AG179" s="31">
        <v>0</v>
      </c>
      <c r="AH179" s="107" t="s">
        <v>274</v>
      </c>
      <c r="AI179" s="107">
        <v>2020</v>
      </c>
      <c r="AJ179" s="107">
        <v>2020</v>
      </c>
    </row>
    <row r="180" spans="1:36" ht="61.5" x14ac:dyDescent="0.85">
      <c r="B180" s="135" t="s">
        <v>1318</v>
      </c>
      <c r="C180" s="109"/>
      <c r="D180" s="108" t="s">
        <v>915</v>
      </c>
      <c r="E180" s="69">
        <f>E181</f>
        <v>0.99180000000000001</v>
      </c>
      <c r="F180" s="31">
        <f>F181</f>
        <v>222776.05000000002</v>
      </c>
      <c r="G180" s="31">
        <f t="shared" ref="G180:AG180" si="45">G181</f>
        <v>0</v>
      </c>
      <c r="H180" s="31">
        <f t="shared" si="45"/>
        <v>0</v>
      </c>
      <c r="I180" s="31">
        <f t="shared" si="45"/>
        <v>0</v>
      </c>
      <c r="J180" s="31">
        <f t="shared" si="45"/>
        <v>0</v>
      </c>
      <c r="K180" s="31">
        <f t="shared" si="45"/>
        <v>0</v>
      </c>
      <c r="L180" s="31">
        <f t="shared" si="45"/>
        <v>0</v>
      </c>
      <c r="M180" s="33">
        <f t="shared" si="45"/>
        <v>0</v>
      </c>
      <c r="N180" s="31">
        <f t="shared" si="45"/>
        <v>0</v>
      </c>
      <c r="O180" s="31">
        <f t="shared" si="45"/>
        <v>0</v>
      </c>
      <c r="P180" s="31">
        <f t="shared" si="45"/>
        <v>0</v>
      </c>
      <c r="Q180" s="31">
        <f t="shared" si="45"/>
        <v>0</v>
      </c>
      <c r="R180" s="31">
        <f t="shared" si="45"/>
        <v>0</v>
      </c>
      <c r="S180" s="31">
        <f t="shared" si="45"/>
        <v>488.11</v>
      </c>
      <c r="T180" s="31">
        <f t="shared" si="45"/>
        <v>219483.79</v>
      </c>
      <c r="U180" s="31">
        <f t="shared" si="45"/>
        <v>0</v>
      </c>
      <c r="V180" s="31">
        <f t="shared" si="45"/>
        <v>0</v>
      </c>
      <c r="W180" s="31">
        <f t="shared" si="45"/>
        <v>0</v>
      </c>
      <c r="X180" s="31">
        <f t="shared" si="45"/>
        <v>0</v>
      </c>
      <c r="Y180" s="31">
        <f t="shared" si="45"/>
        <v>0</v>
      </c>
      <c r="Z180" s="31">
        <f t="shared" si="45"/>
        <v>0</v>
      </c>
      <c r="AA180" s="31">
        <f t="shared" si="45"/>
        <v>0</v>
      </c>
      <c r="AB180" s="31">
        <f t="shared" si="45"/>
        <v>0</v>
      </c>
      <c r="AC180" s="31">
        <f t="shared" si="45"/>
        <v>0</v>
      </c>
      <c r="AD180" s="31">
        <f t="shared" si="45"/>
        <v>0</v>
      </c>
      <c r="AE180" s="31">
        <f t="shared" si="45"/>
        <v>3292.26</v>
      </c>
      <c r="AF180" s="31">
        <f t="shared" si="45"/>
        <v>0</v>
      </c>
      <c r="AG180" s="31">
        <f t="shared" si="45"/>
        <v>0</v>
      </c>
      <c r="AH180" s="107" t="s">
        <v>915</v>
      </c>
      <c r="AI180" s="107" t="s">
        <v>915</v>
      </c>
      <c r="AJ180" s="107" t="s">
        <v>915</v>
      </c>
    </row>
    <row r="181" spans="1:36" ht="61.5" x14ac:dyDescent="0.85">
      <c r="A181" s="6">
        <v>1</v>
      </c>
      <c r="B181" s="66">
        <f>SUBTOTAL(103,$A$66:A181)</f>
        <v>97</v>
      </c>
      <c r="C181" s="109" t="s">
        <v>1530</v>
      </c>
      <c r="D181" s="108" t="s">
        <v>1441</v>
      </c>
      <c r="E181" s="69">
        <v>0.99180000000000001</v>
      </c>
      <c r="F181" s="31">
        <f>G181+H181+I181+J181+K181+L181+N181+P181+R181+T181+V181+W181+X181+Y181+Z181+AA181+AB181+AC181+AD181+AE181+AF181+AG181</f>
        <v>222776.05000000002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3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488.11</v>
      </c>
      <c r="T181" s="31">
        <v>219483.79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0</v>
      </c>
      <c r="AE181" s="31">
        <f>ROUND(T181*1.5%,2)</f>
        <v>3292.26</v>
      </c>
      <c r="AF181" s="31">
        <v>0</v>
      </c>
      <c r="AG181" s="31">
        <v>0</v>
      </c>
      <c r="AH181" s="107" t="s">
        <v>274</v>
      </c>
      <c r="AI181" s="107">
        <v>2020</v>
      </c>
      <c r="AJ181" s="107">
        <v>2020</v>
      </c>
    </row>
    <row r="182" spans="1:36" ht="61.5" x14ac:dyDescent="0.85">
      <c r="B182" s="135" t="s">
        <v>873</v>
      </c>
      <c r="C182" s="109"/>
      <c r="D182" s="108" t="s">
        <v>915</v>
      </c>
      <c r="E182" s="69">
        <f>E183</f>
        <v>1</v>
      </c>
      <c r="F182" s="31">
        <f>F183</f>
        <v>137665.16</v>
      </c>
      <c r="G182" s="31">
        <f t="shared" ref="G182:AG182" si="46">G183</f>
        <v>0</v>
      </c>
      <c r="H182" s="31">
        <f t="shared" si="46"/>
        <v>0</v>
      </c>
      <c r="I182" s="31">
        <f t="shared" si="46"/>
        <v>0</v>
      </c>
      <c r="J182" s="31">
        <f t="shared" si="46"/>
        <v>0</v>
      </c>
      <c r="K182" s="31">
        <f t="shared" si="46"/>
        <v>0</v>
      </c>
      <c r="L182" s="31">
        <f t="shared" si="46"/>
        <v>0</v>
      </c>
      <c r="M182" s="33">
        <f t="shared" si="46"/>
        <v>0</v>
      </c>
      <c r="N182" s="31">
        <f t="shared" si="46"/>
        <v>0</v>
      </c>
      <c r="O182" s="31">
        <f t="shared" si="46"/>
        <v>0</v>
      </c>
      <c r="P182" s="31">
        <f t="shared" si="46"/>
        <v>0</v>
      </c>
      <c r="Q182" s="31">
        <f t="shared" si="46"/>
        <v>0</v>
      </c>
      <c r="R182" s="31">
        <f t="shared" si="46"/>
        <v>0</v>
      </c>
      <c r="S182" s="31">
        <f t="shared" si="46"/>
        <v>370.88</v>
      </c>
      <c r="T182" s="31">
        <f t="shared" si="46"/>
        <v>135630.70000000001</v>
      </c>
      <c r="U182" s="31">
        <f t="shared" si="46"/>
        <v>0</v>
      </c>
      <c r="V182" s="31">
        <f t="shared" si="46"/>
        <v>0</v>
      </c>
      <c r="W182" s="31">
        <f t="shared" si="46"/>
        <v>0</v>
      </c>
      <c r="X182" s="31">
        <f t="shared" si="46"/>
        <v>0</v>
      </c>
      <c r="Y182" s="31">
        <f t="shared" si="46"/>
        <v>0</v>
      </c>
      <c r="Z182" s="31">
        <f t="shared" si="46"/>
        <v>0</v>
      </c>
      <c r="AA182" s="31">
        <f t="shared" si="46"/>
        <v>0</v>
      </c>
      <c r="AB182" s="31">
        <f t="shared" si="46"/>
        <v>0</v>
      </c>
      <c r="AC182" s="31">
        <f t="shared" si="46"/>
        <v>0</v>
      </c>
      <c r="AD182" s="31">
        <f t="shared" si="46"/>
        <v>0</v>
      </c>
      <c r="AE182" s="31">
        <f t="shared" si="46"/>
        <v>2034.46</v>
      </c>
      <c r="AF182" s="31">
        <f t="shared" si="46"/>
        <v>0</v>
      </c>
      <c r="AG182" s="31">
        <f t="shared" si="46"/>
        <v>0</v>
      </c>
      <c r="AH182" s="107" t="s">
        <v>915</v>
      </c>
      <c r="AI182" s="107" t="s">
        <v>915</v>
      </c>
      <c r="AJ182" s="107" t="s">
        <v>915</v>
      </c>
    </row>
    <row r="183" spans="1:36" ht="61.5" x14ac:dyDescent="0.85">
      <c r="A183" s="6">
        <v>1</v>
      </c>
      <c r="B183" s="66">
        <f>SUBTOTAL(103,$A$66:A183)</f>
        <v>98</v>
      </c>
      <c r="C183" s="109" t="s">
        <v>1531</v>
      </c>
      <c r="D183" s="108" t="s">
        <v>1066</v>
      </c>
      <c r="E183" s="69">
        <v>1</v>
      </c>
      <c r="F183" s="31">
        <f>G183+H183+I183+J183+K183+L183+N183+P183+R183+T183+V183+W183+X183+Y183+Z183+AA183+AB183+AC183+AD183+AE183+AF183+AG183</f>
        <v>137665.16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3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370.88</v>
      </c>
      <c r="T183" s="31">
        <v>135630.70000000001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f>ROUND(T183*1.5%,2)</f>
        <v>2034.46</v>
      </c>
      <c r="AF183" s="31">
        <v>0</v>
      </c>
      <c r="AG183" s="31">
        <v>0</v>
      </c>
      <c r="AH183" s="107" t="s">
        <v>274</v>
      </c>
      <c r="AI183" s="107">
        <v>2020</v>
      </c>
      <c r="AJ183" s="107">
        <v>2020</v>
      </c>
    </row>
    <row r="184" spans="1:36" ht="61.5" x14ac:dyDescent="0.85">
      <c r="B184" s="135" t="s">
        <v>861</v>
      </c>
      <c r="C184" s="109"/>
      <c r="D184" s="108" t="s">
        <v>915</v>
      </c>
      <c r="E184" s="69">
        <f>E185</f>
        <v>0.98829999999999996</v>
      </c>
      <c r="F184" s="31">
        <f>F185</f>
        <v>1114586.8</v>
      </c>
      <c r="G184" s="31">
        <f t="shared" ref="G184:AG184" si="47">G185</f>
        <v>0</v>
      </c>
      <c r="H184" s="31">
        <f t="shared" si="47"/>
        <v>0</v>
      </c>
      <c r="I184" s="31">
        <f t="shared" si="47"/>
        <v>0</v>
      </c>
      <c r="J184" s="31">
        <f t="shared" si="47"/>
        <v>0</v>
      </c>
      <c r="K184" s="31">
        <f t="shared" si="47"/>
        <v>0</v>
      </c>
      <c r="L184" s="31">
        <f t="shared" si="47"/>
        <v>0</v>
      </c>
      <c r="M184" s="33">
        <f t="shared" si="47"/>
        <v>0</v>
      </c>
      <c r="N184" s="31">
        <f t="shared" si="47"/>
        <v>0</v>
      </c>
      <c r="O184" s="31">
        <f t="shared" si="47"/>
        <v>400</v>
      </c>
      <c r="P184" s="31">
        <f t="shared" si="47"/>
        <v>1098115.07</v>
      </c>
      <c r="Q184" s="31">
        <f t="shared" si="47"/>
        <v>0</v>
      </c>
      <c r="R184" s="31">
        <f t="shared" si="47"/>
        <v>0</v>
      </c>
      <c r="S184" s="31">
        <f t="shared" si="47"/>
        <v>0</v>
      </c>
      <c r="T184" s="31">
        <f t="shared" si="47"/>
        <v>0</v>
      </c>
      <c r="U184" s="31">
        <f t="shared" si="47"/>
        <v>0</v>
      </c>
      <c r="V184" s="31">
        <f t="shared" si="47"/>
        <v>0</v>
      </c>
      <c r="W184" s="31">
        <f t="shared" si="47"/>
        <v>0</v>
      </c>
      <c r="X184" s="31">
        <f t="shared" si="47"/>
        <v>0</v>
      </c>
      <c r="Y184" s="31">
        <f t="shared" si="47"/>
        <v>0</v>
      </c>
      <c r="Z184" s="31">
        <f t="shared" si="47"/>
        <v>0</v>
      </c>
      <c r="AA184" s="31">
        <f t="shared" si="47"/>
        <v>0</v>
      </c>
      <c r="AB184" s="31">
        <f t="shared" si="47"/>
        <v>0</v>
      </c>
      <c r="AC184" s="31">
        <f t="shared" si="47"/>
        <v>0</v>
      </c>
      <c r="AD184" s="31">
        <f t="shared" si="47"/>
        <v>0</v>
      </c>
      <c r="AE184" s="31">
        <f t="shared" si="47"/>
        <v>16471.73</v>
      </c>
      <c r="AF184" s="31">
        <f t="shared" si="47"/>
        <v>0</v>
      </c>
      <c r="AG184" s="31">
        <f t="shared" si="47"/>
        <v>0</v>
      </c>
      <c r="AH184" s="107" t="s">
        <v>915</v>
      </c>
      <c r="AI184" s="107" t="s">
        <v>915</v>
      </c>
      <c r="AJ184" s="107" t="s">
        <v>915</v>
      </c>
    </row>
    <row r="185" spans="1:36" ht="61.5" x14ac:dyDescent="0.85">
      <c r="A185" s="6">
        <v>1</v>
      </c>
      <c r="B185" s="66">
        <f>SUBTOTAL(103,$A$66:A185)</f>
        <v>99</v>
      </c>
      <c r="C185" s="109" t="s">
        <v>1532</v>
      </c>
      <c r="D185" s="88" t="s">
        <v>1448</v>
      </c>
      <c r="E185" s="69">
        <v>0.98829999999999996</v>
      </c>
      <c r="F185" s="31">
        <f>G185+H185+I185+J185+K185+L185+N185+P185+R185+T185+V185+W185+X185+Y185+Z185+AA185+AB185+AC185+AD185+AE185+AF185+AG185</f>
        <v>1114586.8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3">
        <v>0</v>
      </c>
      <c r="N185" s="31">
        <v>0</v>
      </c>
      <c r="O185" s="31">
        <v>400</v>
      </c>
      <c r="P185" s="31">
        <v>1098115.07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f>ROUND(P185*1.5%,2)</f>
        <v>16471.73</v>
      </c>
      <c r="AF185" s="31">
        <v>0</v>
      </c>
      <c r="AG185" s="31">
        <v>0</v>
      </c>
      <c r="AH185" s="107" t="s">
        <v>274</v>
      </c>
      <c r="AI185" s="107">
        <v>2020</v>
      </c>
      <c r="AJ185" s="107">
        <v>2020</v>
      </c>
    </row>
    <row r="186" spans="1:36" ht="61.5" x14ac:dyDescent="0.85">
      <c r="B186" s="135" t="s">
        <v>866</v>
      </c>
      <c r="C186" s="109"/>
      <c r="D186" s="108" t="s">
        <v>915</v>
      </c>
      <c r="E186" s="69">
        <f>E187</f>
        <v>0.72670000000000001</v>
      </c>
      <c r="F186" s="31">
        <f>F187</f>
        <v>40586.949999999997</v>
      </c>
      <c r="G186" s="31">
        <f t="shared" ref="G186:AG186" si="48">G187</f>
        <v>0</v>
      </c>
      <c r="H186" s="31">
        <f t="shared" si="48"/>
        <v>0</v>
      </c>
      <c r="I186" s="31">
        <f t="shared" si="48"/>
        <v>0</v>
      </c>
      <c r="J186" s="31">
        <f t="shared" si="48"/>
        <v>0</v>
      </c>
      <c r="K186" s="31">
        <f t="shared" si="48"/>
        <v>0</v>
      </c>
      <c r="L186" s="31">
        <f t="shared" si="48"/>
        <v>0</v>
      </c>
      <c r="M186" s="33">
        <f t="shared" si="48"/>
        <v>0</v>
      </c>
      <c r="N186" s="31">
        <f t="shared" si="48"/>
        <v>0</v>
      </c>
      <c r="O186" s="31">
        <f t="shared" si="48"/>
        <v>651</v>
      </c>
      <c r="P186" s="31">
        <f t="shared" si="48"/>
        <v>39987.14</v>
      </c>
      <c r="Q186" s="31">
        <f t="shared" si="48"/>
        <v>0</v>
      </c>
      <c r="R186" s="31">
        <f t="shared" si="48"/>
        <v>0</v>
      </c>
      <c r="S186" s="31">
        <f t="shared" si="48"/>
        <v>0</v>
      </c>
      <c r="T186" s="31">
        <f t="shared" si="48"/>
        <v>0</v>
      </c>
      <c r="U186" s="31">
        <f t="shared" si="48"/>
        <v>0</v>
      </c>
      <c r="V186" s="31">
        <f t="shared" si="48"/>
        <v>0</v>
      </c>
      <c r="W186" s="31">
        <f t="shared" si="48"/>
        <v>0</v>
      </c>
      <c r="X186" s="31">
        <f t="shared" si="48"/>
        <v>0</v>
      </c>
      <c r="Y186" s="31">
        <f t="shared" si="48"/>
        <v>0</v>
      </c>
      <c r="Z186" s="31">
        <f t="shared" si="48"/>
        <v>0</v>
      </c>
      <c r="AA186" s="31">
        <f t="shared" si="48"/>
        <v>0</v>
      </c>
      <c r="AB186" s="31">
        <f t="shared" si="48"/>
        <v>0</v>
      </c>
      <c r="AC186" s="31">
        <f t="shared" si="48"/>
        <v>0</v>
      </c>
      <c r="AD186" s="31">
        <f t="shared" si="48"/>
        <v>0</v>
      </c>
      <c r="AE186" s="31">
        <f t="shared" si="48"/>
        <v>599.80999999999995</v>
      </c>
      <c r="AF186" s="31">
        <f t="shared" si="48"/>
        <v>0</v>
      </c>
      <c r="AG186" s="31">
        <f t="shared" si="48"/>
        <v>0</v>
      </c>
      <c r="AH186" s="107" t="s">
        <v>915</v>
      </c>
      <c r="AI186" s="107" t="s">
        <v>915</v>
      </c>
      <c r="AJ186" s="107" t="s">
        <v>915</v>
      </c>
    </row>
    <row r="187" spans="1:36" ht="61.5" x14ac:dyDescent="0.85">
      <c r="A187" s="6">
        <v>1</v>
      </c>
      <c r="B187" s="66">
        <f>SUBTOTAL(103,$A$66:A187)</f>
        <v>100</v>
      </c>
      <c r="C187" s="109" t="s">
        <v>1533</v>
      </c>
      <c r="D187" s="88" t="s">
        <v>1067</v>
      </c>
      <c r="E187" s="69">
        <v>0.72670000000000001</v>
      </c>
      <c r="F187" s="31">
        <f>G187+H187+I187+J187+K187+L187+N187+P187+R187+T187+V187+W187+X187+Y187+Z187+AA187+AB187+AC187+AD187+AE187+AF187+AG187</f>
        <v>40586.949999999997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3">
        <v>0</v>
      </c>
      <c r="N187" s="31">
        <v>0</v>
      </c>
      <c r="O187" s="31">
        <v>651</v>
      </c>
      <c r="P187" s="31">
        <v>39987.14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f>ROUND(P187*1.5%,2)</f>
        <v>599.80999999999995</v>
      </c>
      <c r="AF187" s="31">
        <v>0</v>
      </c>
      <c r="AG187" s="31">
        <v>0</v>
      </c>
      <c r="AH187" s="107" t="s">
        <v>274</v>
      </c>
      <c r="AI187" s="107">
        <v>2020</v>
      </c>
      <c r="AJ187" s="107">
        <v>2020</v>
      </c>
    </row>
    <row r="188" spans="1:36" ht="61.5" x14ac:dyDescent="0.85">
      <c r="B188" s="135" t="s">
        <v>881</v>
      </c>
      <c r="C188" s="109"/>
      <c r="D188" s="108" t="s">
        <v>915</v>
      </c>
      <c r="E188" s="69">
        <f>E189</f>
        <v>0.98380000000000001</v>
      </c>
      <c r="F188" s="31">
        <f>F189</f>
        <v>39622.869999999995</v>
      </c>
      <c r="G188" s="31">
        <f t="shared" ref="G188:AG188" si="49">G189</f>
        <v>0</v>
      </c>
      <c r="H188" s="31">
        <f t="shared" si="49"/>
        <v>0</v>
      </c>
      <c r="I188" s="31">
        <f t="shared" si="49"/>
        <v>0</v>
      </c>
      <c r="J188" s="31">
        <f t="shared" si="49"/>
        <v>0</v>
      </c>
      <c r="K188" s="31">
        <f t="shared" si="49"/>
        <v>0</v>
      </c>
      <c r="L188" s="31">
        <f t="shared" si="49"/>
        <v>0</v>
      </c>
      <c r="M188" s="33">
        <f t="shared" si="49"/>
        <v>0</v>
      </c>
      <c r="N188" s="31">
        <f t="shared" si="49"/>
        <v>0</v>
      </c>
      <c r="O188" s="31">
        <f t="shared" si="49"/>
        <v>762</v>
      </c>
      <c r="P188" s="31">
        <f t="shared" si="49"/>
        <v>39037.31</v>
      </c>
      <c r="Q188" s="31">
        <f t="shared" si="49"/>
        <v>0</v>
      </c>
      <c r="R188" s="31">
        <f t="shared" si="49"/>
        <v>0</v>
      </c>
      <c r="S188" s="31">
        <f t="shared" si="49"/>
        <v>0</v>
      </c>
      <c r="T188" s="31">
        <f t="shared" si="49"/>
        <v>0</v>
      </c>
      <c r="U188" s="31">
        <f t="shared" si="49"/>
        <v>0</v>
      </c>
      <c r="V188" s="31">
        <f t="shared" si="49"/>
        <v>0</v>
      </c>
      <c r="W188" s="31">
        <f t="shared" si="49"/>
        <v>0</v>
      </c>
      <c r="X188" s="31">
        <f t="shared" si="49"/>
        <v>0</v>
      </c>
      <c r="Y188" s="31">
        <f t="shared" si="49"/>
        <v>0</v>
      </c>
      <c r="Z188" s="31">
        <f t="shared" si="49"/>
        <v>0</v>
      </c>
      <c r="AA188" s="31">
        <f t="shared" si="49"/>
        <v>0</v>
      </c>
      <c r="AB188" s="31">
        <f t="shared" si="49"/>
        <v>0</v>
      </c>
      <c r="AC188" s="31">
        <f t="shared" si="49"/>
        <v>0</v>
      </c>
      <c r="AD188" s="31">
        <f t="shared" si="49"/>
        <v>0</v>
      </c>
      <c r="AE188" s="31">
        <f t="shared" si="49"/>
        <v>585.55999999999995</v>
      </c>
      <c r="AF188" s="31">
        <f t="shared" si="49"/>
        <v>0</v>
      </c>
      <c r="AG188" s="31">
        <f t="shared" si="49"/>
        <v>0</v>
      </c>
      <c r="AH188" s="107" t="s">
        <v>915</v>
      </c>
      <c r="AI188" s="107" t="s">
        <v>915</v>
      </c>
      <c r="AJ188" s="107" t="s">
        <v>915</v>
      </c>
    </row>
    <row r="189" spans="1:36" ht="61.5" x14ac:dyDescent="0.85">
      <c r="A189" s="6">
        <v>1</v>
      </c>
      <c r="B189" s="66">
        <f>SUBTOTAL(103,$A$66:A189)</f>
        <v>101</v>
      </c>
      <c r="C189" s="109" t="s">
        <v>1534</v>
      </c>
      <c r="D189" s="88" t="s">
        <v>1064</v>
      </c>
      <c r="E189" s="69">
        <v>0.98380000000000001</v>
      </c>
      <c r="F189" s="31">
        <f>G189+H189+I189+J189+K189+L189+N189+P189+R189+T189+V189+W189+X189+Y189+Z189+AA189+AB189+AC189+AD189+AE189+AF189+AG189</f>
        <v>39622.869999999995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3">
        <v>0</v>
      </c>
      <c r="N189" s="31">
        <v>0</v>
      </c>
      <c r="O189" s="31">
        <v>762</v>
      </c>
      <c r="P189" s="31">
        <v>39037.31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f>ROUND(P189*1.5%,2)</f>
        <v>585.55999999999995</v>
      </c>
      <c r="AF189" s="31">
        <v>0</v>
      </c>
      <c r="AG189" s="31">
        <v>0</v>
      </c>
      <c r="AH189" s="107" t="s">
        <v>274</v>
      </c>
      <c r="AI189" s="107">
        <v>2020</v>
      </c>
      <c r="AJ189" s="107">
        <v>2020</v>
      </c>
    </row>
    <row r="190" spans="1:36" ht="61.5" x14ac:dyDescent="0.85">
      <c r="B190" s="135" t="s">
        <v>859</v>
      </c>
      <c r="C190" s="109"/>
      <c r="D190" s="108" t="s">
        <v>915</v>
      </c>
      <c r="E190" s="69">
        <f>E191</f>
        <v>0.96889999999999998</v>
      </c>
      <c r="F190" s="31">
        <f>F191</f>
        <v>8028.65</v>
      </c>
      <c r="G190" s="31">
        <f t="shared" ref="G190:AG190" si="50">G191</f>
        <v>0</v>
      </c>
      <c r="H190" s="31">
        <f t="shared" si="50"/>
        <v>0</v>
      </c>
      <c r="I190" s="31">
        <f t="shared" si="50"/>
        <v>0</v>
      </c>
      <c r="J190" s="31">
        <f t="shared" si="50"/>
        <v>0</v>
      </c>
      <c r="K190" s="31">
        <f t="shared" si="50"/>
        <v>0</v>
      </c>
      <c r="L190" s="31">
        <f t="shared" si="50"/>
        <v>0</v>
      </c>
      <c r="M190" s="33">
        <f t="shared" si="50"/>
        <v>0</v>
      </c>
      <c r="N190" s="31">
        <f t="shared" si="50"/>
        <v>0</v>
      </c>
      <c r="O190" s="31">
        <f t="shared" si="50"/>
        <v>981.6</v>
      </c>
      <c r="P190" s="31">
        <f t="shared" si="50"/>
        <v>7910</v>
      </c>
      <c r="Q190" s="31">
        <f t="shared" si="50"/>
        <v>0</v>
      </c>
      <c r="R190" s="31">
        <f t="shared" si="50"/>
        <v>0</v>
      </c>
      <c r="S190" s="31">
        <f t="shared" si="50"/>
        <v>0</v>
      </c>
      <c r="T190" s="31">
        <f t="shared" si="50"/>
        <v>0</v>
      </c>
      <c r="U190" s="31">
        <f t="shared" si="50"/>
        <v>0</v>
      </c>
      <c r="V190" s="31">
        <f t="shared" si="50"/>
        <v>0</v>
      </c>
      <c r="W190" s="31">
        <f t="shared" si="50"/>
        <v>0</v>
      </c>
      <c r="X190" s="31">
        <f t="shared" si="50"/>
        <v>0</v>
      </c>
      <c r="Y190" s="31">
        <f t="shared" si="50"/>
        <v>0</v>
      </c>
      <c r="Z190" s="31">
        <f t="shared" si="50"/>
        <v>0</v>
      </c>
      <c r="AA190" s="31">
        <f t="shared" si="50"/>
        <v>0</v>
      </c>
      <c r="AB190" s="31">
        <f t="shared" si="50"/>
        <v>0</v>
      </c>
      <c r="AC190" s="31">
        <f t="shared" si="50"/>
        <v>0</v>
      </c>
      <c r="AD190" s="31">
        <f t="shared" si="50"/>
        <v>0</v>
      </c>
      <c r="AE190" s="31">
        <f t="shared" si="50"/>
        <v>118.65</v>
      </c>
      <c r="AF190" s="31">
        <f t="shared" si="50"/>
        <v>0</v>
      </c>
      <c r="AG190" s="31">
        <f t="shared" si="50"/>
        <v>0</v>
      </c>
      <c r="AH190" s="107" t="s">
        <v>915</v>
      </c>
      <c r="AI190" s="107" t="s">
        <v>915</v>
      </c>
      <c r="AJ190" s="107" t="s">
        <v>915</v>
      </c>
    </row>
    <row r="191" spans="1:36" ht="61.5" x14ac:dyDescent="0.85">
      <c r="A191" s="6">
        <v>1</v>
      </c>
      <c r="B191" s="66">
        <f>SUBTOTAL(103,$A$66:A191)</f>
        <v>102</v>
      </c>
      <c r="C191" s="109" t="s">
        <v>1542</v>
      </c>
      <c r="D191" s="88" t="s">
        <v>1064</v>
      </c>
      <c r="E191" s="69">
        <v>0.96889999999999998</v>
      </c>
      <c r="F191" s="31">
        <f>G191+H191+I191+J191+K191+L191+N191+P191+R191+T191+V191+W191+X191+Y191+Z191+AA191+AB191+AC191+AD191+AE191+AF191+AG191</f>
        <v>8028.65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3">
        <v>0</v>
      </c>
      <c r="N191" s="31">
        <v>0</v>
      </c>
      <c r="O191" s="31">
        <v>981.6</v>
      </c>
      <c r="P191" s="31">
        <v>7910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f>ROUND(P191*1.5%,2)</f>
        <v>118.65</v>
      </c>
      <c r="AF191" s="31">
        <v>0</v>
      </c>
      <c r="AG191" s="31">
        <v>0</v>
      </c>
      <c r="AH191" s="107" t="s">
        <v>274</v>
      </c>
      <c r="AI191" s="107">
        <v>2020</v>
      </c>
      <c r="AJ191" s="107">
        <v>2020</v>
      </c>
    </row>
    <row r="192" spans="1:36" ht="61.5" x14ac:dyDescent="0.85">
      <c r="B192" s="135" t="s">
        <v>864</v>
      </c>
      <c r="C192" s="109"/>
      <c r="D192" s="108" t="s">
        <v>915</v>
      </c>
      <c r="E192" s="69">
        <f>AVERAGE(E193:E194)</f>
        <v>0.83830000000000005</v>
      </c>
      <c r="F192" s="31">
        <f>F193+F194</f>
        <v>180508.62</v>
      </c>
      <c r="G192" s="31">
        <f t="shared" ref="G192:AG192" si="51">G193+G194</f>
        <v>0</v>
      </c>
      <c r="H192" s="31">
        <f t="shared" si="51"/>
        <v>0</v>
      </c>
      <c r="I192" s="31">
        <f t="shared" si="51"/>
        <v>0</v>
      </c>
      <c r="J192" s="31">
        <f t="shared" si="51"/>
        <v>0</v>
      </c>
      <c r="K192" s="31">
        <f t="shared" si="51"/>
        <v>0</v>
      </c>
      <c r="L192" s="31">
        <f t="shared" si="51"/>
        <v>0</v>
      </c>
      <c r="M192" s="33">
        <f t="shared" si="51"/>
        <v>0</v>
      </c>
      <c r="N192" s="31">
        <f t="shared" si="51"/>
        <v>0</v>
      </c>
      <c r="O192" s="31">
        <f t="shared" si="51"/>
        <v>949</v>
      </c>
      <c r="P192" s="31">
        <f t="shared" si="51"/>
        <v>177841</v>
      </c>
      <c r="Q192" s="31">
        <f t="shared" si="51"/>
        <v>0</v>
      </c>
      <c r="R192" s="31">
        <f t="shared" si="51"/>
        <v>0</v>
      </c>
      <c r="S192" s="31">
        <f t="shared" si="51"/>
        <v>0</v>
      </c>
      <c r="T192" s="31">
        <f t="shared" si="51"/>
        <v>0</v>
      </c>
      <c r="U192" s="31">
        <f t="shared" si="51"/>
        <v>0</v>
      </c>
      <c r="V192" s="31">
        <f t="shared" si="51"/>
        <v>0</v>
      </c>
      <c r="W192" s="31">
        <f t="shared" si="51"/>
        <v>0</v>
      </c>
      <c r="X192" s="31">
        <f t="shared" si="51"/>
        <v>0</v>
      </c>
      <c r="Y192" s="31">
        <f t="shared" si="51"/>
        <v>0</v>
      </c>
      <c r="Z192" s="31">
        <f t="shared" si="51"/>
        <v>0</v>
      </c>
      <c r="AA192" s="31">
        <f t="shared" si="51"/>
        <v>0</v>
      </c>
      <c r="AB192" s="31">
        <f t="shared" si="51"/>
        <v>0</v>
      </c>
      <c r="AC192" s="31">
        <f t="shared" si="51"/>
        <v>0</v>
      </c>
      <c r="AD192" s="31">
        <f t="shared" si="51"/>
        <v>0</v>
      </c>
      <c r="AE192" s="31">
        <f t="shared" si="51"/>
        <v>2667.62</v>
      </c>
      <c r="AF192" s="31">
        <f t="shared" si="51"/>
        <v>0</v>
      </c>
      <c r="AG192" s="31">
        <f t="shared" si="51"/>
        <v>0</v>
      </c>
      <c r="AH192" s="107" t="s">
        <v>915</v>
      </c>
      <c r="AI192" s="107" t="s">
        <v>915</v>
      </c>
      <c r="AJ192" s="107" t="s">
        <v>915</v>
      </c>
    </row>
    <row r="193" spans="1:36" ht="61.5" x14ac:dyDescent="0.85">
      <c r="A193" s="6">
        <v>1</v>
      </c>
      <c r="B193" s="66">
        <f>SUBTOTAL(103,$A$66:A193)</f>
        <v>103</v>
      </c>
      <c r="C193" s="109" t="s">
        <v>1543</v>
      </c>
      <c r="D193" s="88" t="s">
        <v>1064</v>
      </c>
      <c r="E193" s="69">
        <v>0.75480000000000003</v>
      </c>
      <c r="F193" s="31">
        <f>G193+H193+I193+J193+K193+L193+N193+P193+R193+T193+V193+W193+X193+Y193+Z193+AA193+AB193+AC193+AD193+AE193+AF193+AG193</f>
        <v>103408.2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3">
        <v>0</v>
      </c>
      <c r="N193" s="31">
        <v>0</v>
      </c>
      <c r="O193" s="31">
        <v>577</v>
      </c>
      <c r="P193" s="31">
        <v>101880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f>ROUND(P193*1.5%,2)</f>
        <v>1528.2</v>
      </c>
      <c r="AF193" s="31">
        <v>0</v>
      </c>
      <c r="AG193" s="31">
        <v>0</v>
      </c>
      <c r="AH193" s="107" t="s">
        <v>274</v>
      </c>
      <c r="AI193" s="107">
        <v>2020</v>
      </c>
      <c r="AJ193" s="107">
        <v>2020</v>
      </c>
    </row>
    <row r="194" spans="1:36" ht="61.5" x14ac:dyDescent="0.85">
      <c r="A194" s="6">
        <v>1</v>
      </c>
      <c r="B194" s="66">
        <f>SUBTOTAL(103,$A$66:A194)</f>
        <v>104</v>
      </c>
      <c r="C194" s="109" t="s">
        <v>1544</v>
      </c>
      <c r="D194" s="88" t="s">
        <v>1064</v>
      </c>
      <c r="E194" s="69">
        <v>0.92179999999999995</v>
      </c>
      <c r="F194" s="31">
        <f>G194+H194+I194+J194+K194+L194+N194+P194+R194+T194+V194+W194+X194+Y194+Z194+AA194+AB194+AC194+AD194+AE194+AF194+AG194</f>
        <v>77100.42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3">
        <v>0</v>
      </c>
      <c r="N194" s="31">
        <v>0</v>
      </c>
      <c r="O194" s="31">
        <v>372</v>
      </c>
      <c r="P194" s="31">
        <v>75961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f>ROUND(P194*1.5%,2)</f>
        <v>1139.42</v>
      </c>
      <c r="AF194" s="31">
        <v>0</v>
      </c>
      <c r="AG194" s="31">
        <v>0</v>
      </c>
      <c r="AH194" s="107" t="s">
        <v>274</v>
      </c>
      <c r="AI194" s="107">
        <v>2020</v>
      </c>
      <c r="AJ194" s="107">
        <v>2020</v>
      </c>
    </row>
    <row r="195" spans="1:36" ht="61.5" x14ac:dyDescent="0.85">
      <c r="B195" s="135" t="s">
        <v>1073</v>
      </c>
      <c r="C195" s="109"/>
      <c r="D195" s="108" t="s">
        <v>915</v>
      </c>
      <c r="E195" s="69">
        <f t="shared" ref="E195:P195" si="52">E196</f>
        <v>0.93410000000000004</v>
      </c>
      <c r="F195" s="31">
        <f t="shared" si="52"/>
        <v>10150</v>
      </c>
      <c r="G195" s="31">
        <f t="shared" si="52"/>
        <v>0</v>
      </c>
      <c r="H195" s="31">
        <f t="shared" si="52"/>
        <v>0</v>
      </c>
      <c r="I195" s="31">
        <f t="shared" si="52"/>
        <v>0</v>
      </c>
      <c r="J195" s="31">
        <f t="shared" si="52"/>
        <v>0</v>
      </c>
      <c r="K195" s="31">
        <f t="shared" si="52"/>
        <v>0</v>
      </c>
      <c r="L195" s="31">
        <f t="shared" si="52"/>
        <v>0</v>
      </c>
      <c r="M195" s="33">
        <f t="shared" si="52"/>
        <v>0</v>
      </c>
      <c r="N195" s="31">
        <f t="shared" si="52"/>
        <v>0</v>
      </c>
      <c r="O195" s="31">
        <f t="shared" si="52"/>
        <v>429.6</v>
      </c>
      <c r="P195" s="31">
        <f t="shared" si="52"/>
        <v>10000</v>
      </c>
      <c r="Q195" s="31">
        <f t="shared" ref="Q195:AG195" si="53">Q196</f>
        <v>0</v>
      </c>
      <c r="R195" s="31">
        <f t="shared" si="53"/>
        <v>0</v>
      </c>
      <c r="S195" s="31">
        <f t="shared" si="53"/>
        <v>0</v>
      </c>
      <c r="T195" s="31">
        <f t="shared" si="53"/>
        <v>0</v>
      </c>
      <c r="U195" s="31">
        <f t="shared" si="53"/>
        <v>0</v>
      </c>
      <c r="V195" s="31">
        <f t="shared" si="53"/>
        <v>0</v>
      </c>
      <c r="W195" s="31">
        <f t="shared" si="53"/>
        <v>0</v>
      </c>
      <c r="X195" s="31">
        <f t="shared" si="53"/>
        <v>0</v>
      </c>
      <c r="Y195" s="31">
        <f t="shared" si="53"/>
        <v>0</v>
      </c>
      <c r="Z195" s="31">
        <f t="shared" si="53"/>
        <v>0</v>
      </c>
      <c r="AA195" s="31">
        <f t="shared" si="53"/>
        <v>0</v>
      </c>
      <c r="AB195" s="31">
        <f t="shared" si="53"/>
        <v>0</v>
      </c>
      <c r="AC195" s="31">
        <f t="shared" si="53"/>
        <v>0</v>
      </c>
      <c r="AD195" s="31">
        <f t="shared" si="53"/>
        <v>0</v>
      </c>
      <c r="AE195" s="31">
        <f t="shared" si="53"/>
        <v>150</v>
      </c>
      <c r="AF195" s="31">
        <f t="shared" si="53"/>
        <v>0</v>
      </c>
      <c r="AG195" s="31">
        <f t="shared" si="53"/>
        <v>0</v>
      </c>
      <c r="AH195" s="107" t="s">
        <v>915</v>
      </c>
      <c r="AI195" s="107" t="s">
        <v>915</v>
      </c>
      <c r="AJ195" s="107" t="s">
        <v>915</v>
      </c>
    </row>
    <row r="196" spans="1:36" ht="61.5" x14ac:dyDescent="0.85">
      <c r="A196" s="6">
        <v>1</v>
      </c>
      <c r="B196" s="66">
        <f>SUBTOTAL(103,$A$66:A196)</f>
        <v>105</v>
      </c>
      <c r="C196" s="109" t="s">
        <v>1640</v>
      </c>
      <c r="D196" s="88" t="s">
        <v>1434</v>
      </c>
      <c r="E196" s="69">
        <v>0.93410000000000004</v>
      </c>
      <c r="F196" s="31">
        <f>G196+H196+I196+J196+K196+L196+N196+P196+R196+T196+V196+W196+X196+Y196+Z196+AA196+AB196+AC196+AD196+AE196+AF196+AG196</f>
        <v>10150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3">
        <v>0</v>
      </c>
      <c r="N196" s="31">
        <v>0</v>
      </c>
      <c r="O196" s="31">
        <v>429.6</v>
      </c>
      <c r="P196" s="31">
        <v>10000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f>ROUND(P196*1.5%,2)</f>
        <v>150</v>
      </c>
      <c r="AF196" s="31">
        <v>0</v>
      </c>
      <c r="AG196" s="31">
        <v>0</v>
      </c>
      <c r="AH196" s="107" t="s">
        <v>274</v>
      </c>
      <c r="AI196" s="107">
        <v>2020</v>
      </c>
      <c r="AJ196" s="107">
        <v>2020</v>
      </c>
    </row>
  </sheetData>
  <autoFilter ref="A9:AK195" xr:uid="{00000000-0009-0000-0000-000004000000}"/>
  <mergeCells count="34">
    <mergeCell ref="B64:C64"/>
    <mergeCell ref="B63:AJ63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J5:AJ8"/>
    <mergeCell ref="O6:P7"/>
    <mergeCell ref="Q6:R7"/>
    <mergeCell ref="AI5:AI8"/>
    <mergeCell ref="B10:AJ10"/>
    <mergeCell ref="W6:W7"/>
    <mergeCell ref="S6:T7"/>
    <mergeCell ref="M6:N7"/>
    <mergeCell ref="G6:L6"/>
    <mergeCell ref="U6:V7"/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</mergeCells>
  <phoneticPr fontId="44" type="noConversion"/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02"/>
  <sheetViews>
    <sheetView topLeftCell="B1" zoomScale="30" zoomScaleNormal="30" workbookViewId="0">
      <selection activeCell="O10" sqref="O10"/>
    </sheetView>
  </sheetViews>
  <sheetFormatPr defaultRowHeight="15" x14ac:dyDescent="0.25"/>
  <cols>
    <col min="1" max="1" width="9.140625" style="6" hidden="1" customWidth="1"/>
    <col min="2" max="2" width="15.85546875" style="6" customWidth="1"/>
    <col min="3" max="3" width="219.85546875" style="6" customWidth="1"/>
    <col min="4" max="4" width="21.42578125" style="6" customWidth="1"/>
    <col min="5" max="5" width="14.85546875" style="6" customWidth="1"/>
    <col min="6" max="6" width="74.28515625" style="6" customWidth="1"/>
    <col min="7" max="7" width="12.85546875" style="6" customWidth="1"/>
    <col min="8" max="8" width="13.85546875" style="6" customWidth="1"/>
    <col min="9" max="9" width="31.140625" style="6" customWidth="1"/>
    <col min="10" max="10" width="32.28515625" style="6" customWidth="1"/>
    <col min="11" max="11" width="32.5703125" style="6" customWidth="1"/>
    <col min="12" max="12" width="32.85546875" style="6" customWidth="1"/>
    <col min="13" max="13" width="42.28515625" style="6" customWidth="1"/>
    <col min="14" max="14" width="95.28515625" style="6" customWidth="1"/>
    <col min="15" max="15" width="45.5703125" style="6" customWidth="1"/>
    <col min="16" max="16" width="29.85546875" style="6" customWidth="1"/>
    <col min="17" max="17" width="25.5703125" style="6" customWidth="1"/>
    <col min="18" max="16384" width="9.140625" style="6"/>
  </cols>
  <sheetData>
    <row r="1" spans="1:17" ht="35.25" x14ac:dyDescent="0.5">
      <c r="B1" s="56"/>
      <c r="C1" s="56"/>
      <c r="D1" s="56"/>
      <c r="E1" s="56"/>
      <c r="F1" s="56"/>
      <c r="G1" s="57"/>
      <c r="H1" s="56"/>
      <c r="I1" s="56"/>
      <c r="J1" s="56"/>
      <c r="K1" s="56"/>
      <c r="L1" s="56"/>
      <c r="M1" s="102"/>
      <c r="N1" s="102"/>
      <c r="O1" s="326" t="s">
        <v>1077</v>
      </c>
      <c r="P1" s="326"/>
      <c r="Q1" s="326"/>
    </row>
    <row r="2" spans="1:17" ht="71.25" customHeight="1" x14ac:dyDescent="0.5">
      <c r="B2" s="56"/>
      <c r="C2" s="56"/>
      <c r="D2" s="56"/>
      <c r="E2" s="56"/>
      <c r="F2" s="56"/>
      <c r="G2" s="57"/>
      <c r="H2" s="56"/>
      <c r="I2" s="56"/>
      <c r="J2" s="56"/>
      <c r="K2" s="56"/>
      <c r="L2" s="56"/>
      <c r="M2" s="58"/>
      <c r="N2" s="327" t="s">
        <v>1078</v>
      </c>
      <c r="O2" s="327"/>
      <c r="P2" s="327"/>
      <c r="Q2" s="327"/>
    </row>
    <row r="3" spans="1:17" ht="201.75" customHeight="1" x14ac:dyDescent="0.25">
      <c r="B3" s="328" t="s">
        <v>1083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ht="35.25" x14ac:dyDescent="0.25">
      <c r="B4" s="329" t="s">
        <v>6</v>
      </c>
      <c r="C4" s="329" t="s">
        <v>1079</v>
      </c>
      <c r="D4" s="329" t="s">
        <v>254</v>
      </c>
      <c r="E4" s="318"/>
      <c r="F4" s="317" t="s">
        <v>255</v>
      </c>
      <c r="G4" s="320" t="s">
        <v>256</v>
      </c>
      <c r="H4" s="320" t="s">
        <v>257</v>
      </c>
      <c r="I4" s="317" t="s">
        <v>258</v>
      </c>
      <c r="J4" s="329" t="s">
        <v>259</v>
      </c>
      <c r="K4" s="318"/>
      <c r="L4" s="332" t="s">
        <v>1080</v>
      </c>
      <c r="M4" s="332" t="s">
        <v>1081</v>
      </c>
      <c r="N4" s="332" t="s">
        <v>260</v>
      </c>
      <c r="O4" s="312" t="s">
        <v>8</v>
      </c>
      <c r="P4" s="315" t="s">
        <v>262</v>
      </c>
      <c r="Q4" s="315" t="s">
        <v>263</v>
      </c>
    </row>
    <row r="5" spans="1:17" x14ac:dyDescent="0.25">
      <c r="B5" s="318"/>
      <c r="C5" s="318"/>
      <c r="D5" s="317" t="s">
        <v>264</v>
      </c>
      <c r="E5" s="320" t="s">
        <v>265</v>
      </c>
      <c r="F5" s="318"/>
      <c r="G5" s="330"/>
      <c r="H5" s="330"/>
      <c r="I5" s="318"/>
      <c r="J5" s="317" t="s">
        <v>266</v>
      </c>
      <c r="K5" s="320" t="s">
        <v>1082</v>
      </c>
      <c r="L5" s="333"/>
      <c r="M5" s="335"/>
      <c r="N5" s="335"/>
      <c r="O5" s="313"/>
      <c r="P5" s="316"/>
      <c r="Q5" s="316"/>
    </row>
    <row r="6" spans="1:17" ht="301.5" customHeight="1" x14ac:dyDescent="0.25">
      <c r="B6" s="318"/>
      <c r="C6" s="318"/>
      <c r="D6" s="318"/>
      <c r="E6" s="313"/>
      <c r="F6" s="318"/>
      <c r="G6" s="330"/>
      <c r="H6" s="330"/>
      <c r="I6" s="318"/>
      <c r="J6" s="318"/>
      <c r="K6" s="322"/>
      <c r="L6" s="334"/>
      <c r="M6" s="335"/>
      <c r="N6" s="335"/>
      <c r="O6" s="314"/>
      <c r="P6" s="316"/>
      <c r="Q6" s="316"/>
    </row>
    <row r="7" spans="1:17" ht="35.25" x14ac:dyDescent="0.25">
      <c r="B7" s="319"/>
      <c r="C7" s="319"/>
      <c r="D7" s="319"/>
      <c r="E7" s="321"/>
      <c r="F7" s="318"/>
      <c r="G7" s="331"/>
      <c r="H7" s="331"/>
      <c r="I7" s="59" t="s">
        <v>38</v>
      </c>
      <c r="J7" s="59" t="s">
        <v>38</v>
      </c>
      <c r="K7" s="59" t="s">
        <v>38</v>
      </c>
      <c r="L7" s="59" t="s">
        <v>269</v>
      </c>
      <c r="M7" s="336"/>
      <c r="N7" s="336"/>
      <c r="O7" s="59" t="s">
        <v>36</v>
      </c>
      <c r="P7" s="59" t="s">
        <v>270</v>
      </c>
      <c r="Q7" s="59" t="s">
        <v>270</v>
      </c>
    </row>
    <row r="8" spans="1:17" ht="35.25" x14ac:dyDescent="0.25"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60">
        <v>5.5697674418604599</v>
      </c>
      <c r="H8" s="60">
        <v>7</v>
      </c>
      <c r="I8" s="60">
        <v>8</v>
      </c>
      <c r="J8" s="60">
        <v>9</v>
      </c>
      <c r="K8" s="60">
        <v>10</v>
      </c>
      <c r="L8" s="59">
        <v>11</v>
      </c>
      <c r="M8" s="60">
        <v>12</v>
      </c>
      <c r="N8" s="60">
        <v>13</v>
      </c>
      <c r="O8" s="60">
        <v>14</v>
      </c>
      <c r="P8" s="60">
        <v>15</v>
      </c>
      <c r="Q8" s="60">
        <v>16</v>
      </c>
    </row>
    <row r="9" spans="1:17" ht="45.75" x14ac:dyDescent="0.25">
      <c r="B9" s="323" t="s">
        <v>1042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5"/>
    </row>
    <row r="10" spans="1:17" ht="35.25" x14ac:dyDescent="0.4">
      <c r="B10" s="95" t="s">
        <v>1076</v>
      </c>
      <c r="C10" s="96"/>
      <c r="D10" s="92" t="s">
        <v>915</v>
      </c>
      <c r="E10" s="92" t="s">
        <v>915</v>
      </c>
      <c r="F10" s="92" t="s">
        <v>915</v>
      </c>
      <c r="G10" s="92" t="s">
        <v>915</v>
      </c>
      <c r="H10" s="92" t="s">
        <v>915</v>
      </c>
      <c r="I10" s="94">
        <f>I11+I13+I22+I26+I28+I31+I34+I38+I40+I42+I46+I48+I50+I52+I56+I24+I58+I60</f>
        <v>30909.18</v>
      </c>
      <c r="J10" s="94">
        <f>J11+J13+J22+J26+J28+J31+J34+J38+J40+J42+J46+J48+J50+J52+J56+J24+J58+J60</f>
        <v>23746.31</v>
      </c>
      <c r="K10" s="94">
        <f>K11+K13+K22+K26+K28+K31+K34+K38+K40+K42+K46+K48+K50+K52+K56+K24+K58+K60</f>
        <v>21066.809999999994</v>
      </c>
      <c r="L10" s="98">
        <f>L11+L13+L22+L26+L28+L31+L34+L38+L40+L42+L46+L48+L50+L52+L56+L24+L58+L60</f>
        <v>1298</v>
      </c>
      <c r="M10" s="92" t="s">
        <v>915</v>
      </c>
      <c r="N10" s="92" t="s">
        <v>915</v>
      </c>
      <c r="O10" s="94">
        <v>85637540.319999993</v>
      </c>
      <c r="P10" s="93">
        <f>O10/I10</f>
        <v>2770.6183185707287</v>
      </c>
      <c r="Q10" s="93">
        <f>MAX(Q11:Q61)</f>
        <v>10426.593502202644</v>
      </c>
    </row>
    <row r="11" spans="1:17" ht="35.25" x14ac:dyDescent="0.4">
      <c r="B11" s="95" t="s">
        <v>840</v>
      </c>
      <c r="C11" s="96"/>
      <c r="D11" s="92" t="s">
        <v>915</v>
      </c>
      <c r="E11" s="92" t="s">
        <v>915</v>
      </c>
      <c r="F11" s="92" t="s">
        <v>915</v>
      </c>
      <c r="G11" s="92" t="s">
        <v>915</v>
      </c>
      <c r="H11" s="92" t="s">
        <v>915</v>
      </c>
      <c r="I11" s="94">
        <f>I12</f>
        <v>792.7</v>
      </c>
      <c r="J11" s="94">
        <f>J12</f>
        <v>481</v>
      </c>
      <c r="K11" s="94">
        <f>K12</f>
        <v>481</v>
      </c>
      <c r="L11" s="98">
        <f>L12</f>
        <v>42</v>
      </c>
      <c r="M11" s="92" t="s">
        <v>915</v>
      </c>
      <c r="N11" s="92" t="s">
        <v>915</v>
      </c>
      <c r="O11" s="93">
        <v>2320165.87</v>
      </c>
      <c r="P11" s="93">
        <f t="shared" ref="P11:P61" si="0">O11/I11</f>
        <v>2926.9154408981958</v>
      </c>
      <c r="Q11" s="93">
        <f>MAX(Q12)</f>
        <v>4113.1297754509897</v>
      </c>
    </row>
    <row r="12" spans="1:17" ht="35.25" x14ac:dyDescent="0.5">
      <c r="A12" s="6">
        <v>1</v>
      </c>
      <c r="B12" s="91">
        <f>SUBTOTAL(103,$A12:A$12)</f>
        <v>1</v>
      </c>
      <c r="C12" s="97" t="s">
        <v>1045</v>
      </c>
      <c r="D12" s="92">
        <v>1969</v>
      </c>
      <c r="E12" s="92"/>
      <c r="F12" s="92" t="s">
        <v>273</v>
      </c>
      <c r="G12" s="92">
        <v>2</v>
      </c>
      <c r="H12" s="92">
        <v>2</v>
      </c>
      <c r="I12" s="94">
        <v>792.7</v>
      </c>
      <c r="J12" s="94">
        <v>481</v>
      </c>
      <c r="K12" s="94">
        <f>J12</f>
        <v>481</v>
      </c>
      <c r="L12" s="98">
        <v>42</v>
      </c>
      <c r="M12" s="92" t="s">
        <v>272</v>
      </c>
      <c r="N12" s="92" t="s">
        <v>274</v>
      </c>
      <c r="O12" s="93">
        <v>2320165.87</v>
      </c>
      <c r="P12" s="93">
        <f t="shared" si="0"/>
        <v>2926.9154408981958</v>
      </c>
      <c r="Q12" s="93">
        <v>4113.1297754509897</v>
      </c>
    </row>
    <row r="13" spans="1:17" ht="35.25" x14ac:dyDescent="0.4">
      <c r="B13" s="97" t="s">
        <v>1072</v>
      </c>
      <c r="C13" s="97"/>
      <c r="D13" s="92" t="s">
        <v>915</v>
      </c>
      <c r="E13" s="92" t="s">
        <v>915</v>
      </c>
      <c r="F13" s="92" t="s">
        <v>915</v>
      </c>
      <c r="G13" s="92" t="s">
        <v>915</v>
      </c>
      <c r="H13" s="92" t="s">
        <v>915</v>
      </c>
      <c r="I13" s="94">
        <f>SUM(I14:I21)</f>
        <v>10686.5</v>
      </c>
      <c r="J13" s="94">
        <f>SUM(J14:J21)</f>
        <v>7066.0000000000018</v>
      </c>
      <c r="K13" s="94">
        <f>SUM(K14:K21)</f>
        <v>6558.9</v>
      </c>
      <c r="L13" s="98">
        <f>SUM(L14:L21)</f>
        <v>373</v>
      </c>
      <c r="M13" s="92" t="s">
        <v>915</v>
      </c>
      <c r="N13" s="92" t="s">
        <v>915</v>
      </c>
      <c r="O13" s="93">
        <v>23242998.57</v>
      </c>
      <c r="P13" s="93">
        <f t="shared" si="0"/>
        <v>2174.986999485332</v>
      </c>
      <c r="Q13" s="93">
        <f>MAX(Q14:Q21)</f>
        <v>10426.593502202644</v>
      </c>
    </row>
    <row r="14" spans="1:17" ht="35.25" x14ac:dyDescent="0.5">
      <c r="A14" s="6">
        <v>1</v>
      </c>
      <c r="B14" s="91">
        <f>SUBTOTAL(103,$A$12:A14)</f>
        <v>2</v>
      </c>
      <c r="C14" s="97" t="s">
        <v>1046</v>
      </c>
      <c r="D14" s="92">
        <v>1958</v>
      </c>
      <c r="E14" s="92"/>
      <c r="F14" s="92" t="s">
        <v>273</v>
      </c>
      <c r="G14" s="92">
        <v>5</v>
      </c>
      <c r="H14" s="92">
        <v>4</v>
      </c>
      <c r="I14" s="94">
        <v>5229.2</v>
      </c>
      <c r="J14" s="94">
        <v>2434.1</v>
      </c>
      <c r="K14" s="94">
        <f>J14-227.6</f>
        <v>2206.5</v>
      </c>
      <c r="L14" s="98">
        <v>121</v>
      </c>
      <c r="M14" s="92" t="s">
        <v>349</v>
      </c>
      <c r="N14" s="92" t="s">
        <v>1084</v>
      </c>
      <c r="O14" s="93">
        <v>7302960</v>
      </c>
      <c r="P14" s="93">
        <f t="shared" si="0"/>
        <v>1396.5730895739312</v>
      </c>
      <c r="Q14" s="93">
        <v>1632.7153885871646</v>
      </c>
    </row>
    <row r="15" spans="1:17" ht="35.25" x14ac:dyDescent="0.5">
      <c r="A15" s="6">
        <v>1</v>
      </c>
      <c r="B15" s="91">
        <f>SUBTOTAL(103,$A$12:A15)</f>
        <v>3</v>
      </c>
      <c r="C15" s="97" t="s">
        <v>1047</v>
      </c>
      <c r="D15" s="92">
        <v>1979</v>
      </c>
      <c r="E15" s="92"/>
      <c r="F15" s="92" t="s">
        <v>273</v>
      </c>
      <c r="G15" s="92">
        <v>5</v>
      </c>
      <c r="H15" s="92">
        <v>1</v>
      </c>
      <c r="I15" s="94">
        <v>802.1</v>
      </c>
      <c r="J15" s="94">
        <v>554.20000000000005</v>
      </c>
      <c r="K15" s="94">
        <f>J15</f>
        <v>554.20000000000005</v>
      </c>
      <c r="L15" s="98">
        <v>25</v>
      </c>
      <c r="M15" s="92" t="s">
        <v>275</v>
      </c>
      <c r="N15" s="92" t="s">
        <v>1085</v>
      </c>
      <c r="O15" s="93">
        <v>987000</v>
      </c>
      <c r="P15" s="93">
        <f t="shared" si="0"/>
        <v>1230.5198853010845</v>
      </c>
      <c r="Q15" s="93">
        <v>1772.819349208328</v>
      </c>
    </row>
    <row r="16" spans="1:17" ht="35.25" x14ac:dyDescent="0.5">
      <c r="A16" s="6">
        <v>1</v>
      </c>
      <c r="B16" s="91">
        <f>SUBTOTAL(103,$A$12:A16)</f>
        <v>4</v>
      </c>
      <c r="C16" s="97" t="s">
        <v>1048</v>
      </c>
      <c r="D16" s="92">
        <v>1961</v>
      </c>
      <c r="E16" s="92"/>
      <c r="F16" s="92" t="s">
        <v>273</v>
      </c>
      <c r="G16" s="92">
        <v>2</v>
      </c>
      <c r="H16" s="92">
        <v>1</v>
      </c>
      <c r="I16" s="94">
        <v>301.39999999999998</v>
      </c>
      <c r="J16" s="94">
        <v>276.5</v>
      </c>
      <c r="K16" s="94">
        <f>J16-38</f>
        <v>238.5</v>
      </c>
      <c r="L16" s="98">
        <v>16</v>
      </c>
      <c r="M16" s="92" t="s">
        <v>275</v>
      </c>
      <c r="N16" s="92" t="s">
        <v>1023</v>
      </c>
      <c r="O16" s="93">
        <v>1153050</v>
      </c>
      <c r="P16" s="93">
        <f t="shared" si="0"/>
        <v>3825.6469807564699</v>
      </c>
      <c r="Q16" s="93">
        <v>5052.0964499004649</v>
      </c>
    </row>
    <row r="17" spans="1:17" ht="35.25" x14ac:dyDescent="0.5">
      <c r="A17" s="6">
        <v>1</v>
      </c>
      <c r="B17" s="91">
        <f>SUBTOTAL(103,$A$12:A17)</f>
        <v>5</v>
      </c>
      <c r="C17" s="97" t="s">
        <v>1061</v>
      </c>
      <c r="D17" s="92">
        <v>1957</v>
      </c>
      <c r="E17" s="92"/>
      <c r="F17" s="92" t="s">
        <v>273</v>
      </c>
      <c r="G17" s="92">
        <v>2</v>
      </c>
      <c r="H17" s="92">
        <v>1</v>
      </c>
      <c r="I17" s="94">
        <v>272.39999999999998</v>
      </c>
      <c r="J17" s="94">
        <v>194.8</v>
      </c>
      <c r="K17" s="94">
        <f>J17-37.2</f>
        <v>157.60000000000002</v>
      </c>
      <c r="L17" s="98">
        <v>14</v>
      </c>
      <c r="M17" s="92" t="s">
        <v>275</v>
      </c>
      <c r="N17" s="92" t="s">
        <v>1086</v>
      </c>
      <c r="O17" s="93">
        <v>1498190.9963054184</v>
      </c>
      <c r="P17" s="93">
        <f t="shared" si="0"/>
        <v>5499.9669467893482</v>
      </c>
      <c r="Q17" s="93">
        <v>10426.593502202644</v>
      </c>
    </row>
    <row r="18" spans="1:17" ht="35.25" x14ac:dyDescent="0.5">
      <c r="A18" s="6">
        <v>1</v>
      </c>
      <c r="B18" s="91">
        <f>SUBTOTAL(103,$A$12:A18)</f>
        <v>6</v>
      </c>
      <c r="C18" s="97" t="s">
        <v>1106</v>
      </c>
      <c r="D18" s="92">
        <v>1960</v>
      </c>
      <c r="E18" s="92"/>
      <c r="F18" s="92" t="s">
        <v>273</v>
      </c>
      <c r="G18" s="92">
        <v>4</v>
      </c>
      <c r="H18" s="92">
        <v>4</v>
      </c>
      <c r="I18" s="94">
        <v>2738.8</v>
      </c>
      <c r="J18" s="94">
        <v>2498.1</v>
      </c>
      <c r="K18" s="94">
        <f>2498.1-114.3</f>
        <v>2383.7999999999997</v>
      </c>
      <c r="L18" s="98">
        <v>128</v>
      </c>
      <c r="M18" s="92" t="s">
        <v>275</v>
      </c>
      <c r="N18" s="92" t="s">
        <v>1105</v>
      </c>
      <c r="O18" s="93">
        <v>5363308.9399999995</v>
      </c>
      <c r="P18" s="93">
        <f t="shared" si="0"/>
        <v>1958.2696582444862</v>
      </c>
      <c r="Q18" s="93">
        <v>2204.8591616766466</v>
      </c>
    </row>
    <row r="19" spans="1:17" ht="35.25" x14ac:dyDescent="0.5">
      <c r="A19" s="6">
        <v>1</v>
      </c>
      <c r="B19" s="91">
        <f>SUBTOTAL(103,$A$12:A19)</f>
        <v>7</v>
      </c>
      <c r="C19" s="90" t="s">
        <v>1113</v>
      </c>
      <c r="D19" s="92">
        <v>1956</v>
      </c>
      <c r="E19" s="92"/>
      <c r="F19" s="92" t="s">
        <v>273</v>
      </c>
      <c r="G19" s="92">
        <v>2</v>
      </c>
      <c r="H19" s="92">
        <v>1</v>
      </c>
      <c r="I19" s="94">
        <v>443</v>
      </c>
      <c r="J19" s="94">
        <v>397.1</v>
      </c>
      <c r="K19" s="94">
        <v>353.4</v>
      </c>
      <c r="L19" s="98">
        <v>24</v>
      </c>
      <c r="M19" s="92" t="s">
        <v>275</v>
      </c>
      <c r="N19" s="92" t="s">
        <v>1105</v>
      </c>
      <c r="O19" s="93">
        <v>2595067.46</v>
      </c>
      <c r="P19" s="93">
        <f t="shared" si="0"/>
        <v>5857.940090293454</v>
      </c>
      <c r="Q19" s="93">
        <v>8468.8031911963881</v>
      </c>
    </row>
    <row r="20" spans="1:17" ht="35.25" x14ac:dyDescent="0.5">
      <c r="A20" s="6">
        <v>1</v>
      </c>
      <c r="B20" s="91">
        <f>SUBTOTAL(103,$A$12:A20)</f>
        <v>8</v>
      </c>
      <c r="C20" s="90" t="s">
        <v>1114</v>
      </c>
      <c r="D20" s="92">
        <v>1956</v>
      </c>
      <c r="E20" s="92"/>
      <c r="F20" s="92" t="s">
        <v>273</v>
      </c>
      <c r="G20" s="92">
        <v>2</v>
      </c>
      <c r="H20" s="92">
        <v>1</v>
      </c>
      <c r="I20" s="94">
        <v>512.5</v>
      </c>
      <c r="J20" s="94">
        <v>324.10000000000002</v>
      </c>
      <c r="K20" s="94">
        <v>324.10000000000002</v>
      </c>
      <c r="L20" s="98">
        <v>25</v>
      </c>
      <c r="M20" s="92" t="s">
        <v>275</v>
      </c>
      <c r="N20" s="92" t="s">
        <v>1086</v>
      </c>
      <c r="O20" s="93">
        <v>2328497.1500000004</v>
      </c>
      <c r="P20" s="93">
        <f t="shared" si="0"/>
        <v>4543.4090731707329</v>
      </c>
      <c r="Q20" s="93">
        <v>6358.44</v>
      </c>
    </row>
    <row r="21" spans="1:17" ht="35.25" x14ac:dyDescent="0.5">
      <c r="A21" s="6">
        <v>1</v>
      </c>
      <c r="B21" s="91">
        <f>SUBTOTAL(103,$A$12:A21)</f>
        <v>9</v>
      </c>
      <c r="C21" s="90" t="s">
        <v>1429</v>
      </c>
      <c r="D21" s="92">
        <v>1957</v>
      </c>
      <c r="E21" s="92"/>
      <c r="F21" s="92" t="s">
        <v>273</v>
      </c>
      <c r="G21" s="92">
        <v>2</v>
      </c>
      <c r="H21" s="92">
        <v>1</v>
      </c>
      <c r="I21" s="94">
        <v>387.1</v>
      </c>
      <c r="J21" s="94">
        <v>387.1</v>
      </c>
      <c r="K21" s="94">
        <v>340.8</v>
      </c>
      <c r="L21" s="98">
        <v>20</v>
      </c>
      <c r="M21" s="92" t="s">
        <v>275</v>
      </c>
      <c r="N21" s="92" t="s">
        <v>1430</v>
      </c>
      <c r="O21" s="93">
        <v>2014924.02</v>
      </c>
      <c r="P21" s="93">
        <f t="shared" si="0"/>
        <v>5205.1770085249291</v>
      </c>
      <c r="Q21" s="93">
        <v>5448.8968225264789</v>
      </c>
    </row>
    <row r="22" spans="1:17" ht="35.25" x14ac:dyDescent="0.4">
      <c r="B22" s="97" t="s">
        <v>844</v>
      </c>
      <c r="C22" s="97"/>
      <c r="D22" s="92" t="s">
        <v>915</v>
      </c>
      <c r="E22" s="92" t="s">
        <v>915</v>
      </c>
      <c r="F22" s="92" t="s">
        <v>915</v>
      </c>
      <c r="G22" s="92" t="s">
        <v>915</v>
      </c>
      <c r="H22" s="92" t="s">
        <v>915</v>
      </c>
      <c r="I22" s="94">
        <f>I23</f>
        <v>882.3</v>
      </c>
      <c r="J22" s="94">
        <f>J23</f>
        <v>779.5</v>
      </c>
      <c r="K22" s="94">
        <f>K23</f>
        <v>779.5</v>
      </c>
      <c r="L22" s="98">
        <f>L23</f>
        <v>29</v>
      </c>
      <c r="M22" s="92" t="s">
        <v>915</v>
      </c>
      <c r="N22" s="92" t="s">
        <v>915</v>
      </c>
      <c r="O22" s="93">
        <v>2196540.5</v>
      </c>
      <c r="P22" s="93">
        <f t="shared" si="0"/>
        <v>2489.5619403830897</v>
      </c>
      <c r="Q22" s="93">
        <f>Q23</f>
        <v>2597.4783951037066</v>
      </c>
    </row>
    <row r="23" spans="1:17" ht="35.25" x14ac:dyDescent="0.5">
      <c r="A23" s="6">
        <v>1</v>
      </c>
      <c r="B23" s="91">
        <f>SUBTOTAL(103,$A$12:A23)</f>
        <v>10</v>
      </c>
      <c r="C23" s="97" t="s">
        <v>699</v>
      </c>
      <c r="D23" s="92">
        <v>1982</v>
      </c>
      <c r="E23" s="92"/>
      <c r="F23" s="92" t="s">
        <v>273</v>
      </c>
      <c r="G23" s="92">
        <v>4</v>
      </c>
      <c r="H23" s="92">
        <v>1</v>
      </c>
      <c r="I23" s="94">
        <v>882.3</v>
      </c>
      <c r="J23" s="94">
        <v>779.5</v>
      </c>
      <c r="K23" s="94">
        <f>J23</f>
        <v>779.5</v>
      </c>
      <c r="L23" s="98">
        <v>29</v>
      </c>
      <c r="M23" s="92" t="s">
        <v>272</v>
      </c>
      <c r="N23" s="92" t="s">
        <v>274</v>
      </c>
      <c r="O23" s="93">
        <v>2196540.5</v>
      </c>
      <c r="P23" s="93">
        <f t="shared" si="0"/>
        <v>2489.5619403830897</v>
      </c>
      <c r="Q23" s="93">
        <v>2597.4783951037066</v>
      </c>
    </row>
    <row r="24" spans="1:17" ht="35.25" x14ac:dyDescent="0.5">
      <c r="B24" s="113" t="s">
        <v>848</v>
      </c>
      <c r="C24" s="97"/>
      <c r="D24" s="92" t="s">
        <v>915</v>
      </c>
      <c r="E24" s="92" t="s">
        <v>915</v>
      </c>
      <c r="F24" s="92" t="s">
        <v>915</v>
      </c>
      <c r="G24" s="92" t="s">
        <v>915</v>
      </c>
      <c r="H24" s="92" t="s">
        <v>915</v>
      </c>
      <c r="I24" s="94">
        <f>I25</f>
        <v>1813.2</v>
      </c>
      <c r="J24" s="94">
        <f>J25</f>
        <v>1042.3</v>
      </c>
      <c r="K24" s="94">
        <f>K25</f>
        <v>567</v>
      </c>
      <c r="L24" s="98">
        <f>L25</f>
        <v>156</v>
      </c>
      <c r="M24" s="92" t="s">
        <v>915</v>
      </c>
      <c r="N24" s="92" t="s">
        <v>915</v>
      </c>
      <c r="O24" s="93">
        <v>6235729.1299999999</v>
      </c>
      <c r="P24" s="93">
        <f t="shared" si="0"/>
        <v>3439.0740844915067</v>
      </c>
      <c r="Q24" s="93">
        <f>Q25</f>
        <v>3531.0267736598275</v>
      </c>
    </row>
    <row r="25" spans="1:17" ht="35.25" x14ac:dyDescent="0.5">
      <c r="A25" s="6">
        <v>1</v>
      </c>
      <c r="B25" s="91">
        <f>SUBTOTAL(103,$A$12:A25)</f>
        <v>11</v>
      </c>
      <c r="C25" s="97" t="s">
        <v>1096</v>
      </c>
      <c r="D25" s="92">
        <v>2007</v>
      </c>
      <c r="E25" s="92"/>
      <c r="F25" s="92" t="s">
        <v>273</v>
      </c>
      <c r="G25" s="92">
        <v>3</v>
      </c>
      <c r="H25" s="92">
        <v>3</v>
      </c>
      <c r="I25" s="94">
        <v>1813.2</v>
      </c>
      <c r="J25" s="94">
        <v>1042.3</v>
      </c>
      <c r="K25" s="94">
        <f>J25-475.3</f>
        <v>567</v>
      </c>
      <c r="L25" s="98">
        <v>156</v>
      </c>
      <c r="M25" s="92" t="s">
        <v>275</v>
      </c>
      <c r="N25" s="92" t="s">
        <v>1098</v>
      </c>
      <c r="O25" s="93">
        <v>6235729.1299999999</v>
      </c>
      <c r="P25" s="93">
        <f t="shared" si="0"/>
        <v>3439.0740844915067</v>
      </c>
      <c r="Q25" s="93">
        <v>3531.0267736598275</v>
      </c>
    </row>
    <row r="26" spans="1:17" ht="35.25" x14ac:dyDescent="0.4">
      <c r="B26" s="97" t="s">
        <v>849</v>
      </c>
      <c r="C26" s="97"/>
      <c r="D26" s="92" t="s">
        <v>915</v>
      </c>
      <c r="E26" s="92" t="s">
        <v>915</v>
      </c>
      <c r="F26" s="92" t="s">
        <v>915</v>
      </c>
      <c r="G26" s="92" t="s">
        <v>915</v>
      </c>
      <c r="H26" s="92" t="s">
        <v>915</v>
      </c>
      <c r="I26" s="94">
        <f>I27</f>
        <v>366.5</v>
      </c>
      <c r="J26" s="94">
        <f>J27</f>
        <v>336.9</v>
      </c>
      <c r="K26" s="94">
        <f>K27</f>
        <v>336.9</v>
      </c>
      <c r="L26" s="98">
        <f>L27</f>
        <v>13</v>
      </c>
      <c r="M26" s="92" t="s">
        <v>915</v>
      </c>
      <c r="N26" s="92" t="s">
        <v>915</v>
      </c>
      <c r="O26" s="93">
        <v>1375440</v>
      </c>
      <c r="P26" s="93">
        <f t="shared" si="0"/>
        <v>3752.905866302865</v>
      </c>
      <c r="Q26" s="93">
        <f>Q27</f>
        <v>4733.4615225102325</v>
      </c>
    </row>
    <row r="27" spans="1:17" ht="35.25" x14ac:dyDescent="0.5">
      <c r="A27" s="6">
        <v>1</v>
      </c>
      <c r="B27" s="91">
        <f>SUBTOTAL(103,$A$12:A27)</f>
        <v>12</v>
      </c>
      <c r="C27" s="97" t="s">
        <v>1049</v>
      </c>
      <c r="D27" s="92">
        <v>1971</v>
      </c>
      <c r="E27" s="92"/>
      <c r="F27" s="92" t="s">
        <v>273</v>
      </c>
      <c r="G27" s="92">
        <v>2</v>
      </c>
      <c r="H27" s="92">
        <v>1</v>
      </c>
      <c r="I27" s="94">
        <v>366.5</v>
      </c>
      <c r="J27" s="94">
        <v>336.9</v>
      </c>
      <c r="K27" s="94">
        <f>J27</f>
        <v>336.9</v>
      </c>
      <c r="L27" s="98">
        <v>13</v>
      </c>
      <c r="M27" s="92" t="s">
        <v>275</v>
      </c>
      <c r="N27" s="92" t="s">
        <v>341</v>
      </c>
      <c r="O27" s="93">
        <v>1375440</v>
      </c>
      <c r="P27" s="93">
        <f t="shared" si="0"/>
        <v>3752.905866302865</v>
      </c>
      <c r="Q27" s="93">
        <v>4733.4615225102325</v>
      </c>
    </row>
    <row r="28" spans="1:17" ht="35.25" x14ac:dyDescent="0.4">
      <c r="B28" s="97" t="s">
        <v>1073</v>
      </c>
      <c r="C28" s="97"/>
      <c r="D28" s="92" t="s">
        <v>915</v>
      </c>
      <c r="E28" s="92" t="s">
        <v>915</v>
      </c>
      <c r="F28" s="92" t="s">
        <v>915</v>
      </c>
      <c r="G28" s="92" t="s">
        <v>915</v>
      </c>
      <c r="H28" s="92" t="s">
        <v>915</v>
      </c>
      <c r="I28" s="94">
        <f>I29+I30</f>
        <v>874.3</v>
      </c>
      <c r="J28" s="94">
        <f>J29+J30</f>
        <v>820.40000000000009</v>
      </c>
      <c r="K28" s="94">
        <f>K29+K30</f>
        <v>653.30000000000007</v>
      </c>
      <c r="L28" s="98">
        <f>L29+L30</f>
        <v>38</v>
      </c>
      <c r="M28" s="92" t="s">
        <v>915</v>
      </c>
      <c r="N28" s="92" t="s">
        <v>915</v>
      </c>
      <c r="O28" s="93">
        <v>3273930.56</v>
      </c>
      <c r="P28" s="93">
        <f t="shared" si="0"/>
        <v>3744.6306302184607</v>
      </c>
      <c r="Q28" s="93">
        <f>MAX(Q29:Q30)</f>
        <v>4791.3722068525212</v>
      </c>
    </row>
    <row r="29" spans="1:17" ht="35.25" x14ac:dyDescent="0.5">
      <c r="A29" s="6">
        <v>1</v>
      </c>
      <c r="B29" s="91">
        <f>SUBTOTAL(103,$A$12:A29)</f>
        <v>13</v>
      </c>
      <c r="C29" s="97" t="s">
        <v>1050</v>
      </c>
      <c r="D29" s="92">
        <v>1938</v>
      </c>
      <c r="E29" s="92"/>
      <c r="F29" s="92" t="s">
        <v>338</v>
      </c>
      <c r="G29" s="92">
        <v>2</v>
      </c>
      <c r="H29" s="92">
        <v>2</v>
      </c>
      <c r="I29" s="94">
        <v>469.9</v>
      </c>
      <c r="J29" s="94">
        <v>418.1</v>
      </c>
      <c r="K29" s="94">
        <f>J29-167.1</f>
        <v>251.00000000000003</v>
      </c>
      <c r="L29" s="98">
        <v>19</v>
      </c>
      <c r="M29" s="92" t="s">
        <v>272</v>
      </c>
      <c r="N29" s="92" t="s">
        <v>274</v>
      </c>
      <c r="O29" s="93">
        <v>1784676.59</v>
      </c>
      <c r="P29" s="93">
        <f t="shared" si="0"/>
        <v>3797.9923175143649</v>
      </c>
      <c r="Q29" s="93">
        <v>4791.3722068525212</v>
      </c>
    </row>
    <row r="30" spans="1:17" ht="35.25" x14ac:dyDescent="0.5">
      <c r="A30" s="6">
        <v>1</v>
      </c>
      <c r="B30" s="91">
        <f>SUBTOTAL(103,$A$12:A30)</f>
        <v>14</v>
      </c>
      <c r="C30" s="97" t="s">
        <v>1051</v>
      </c>
      <c r="D30" s="92">
        <v>1950</v>
      </c>
      <c r="E30" s="92"/>
      <c r="F30" s="92" t="s">
        <v>338</v>
      </c>
      <c r="G30" s="92">
        <v>2</v>
      </c>
      <c r="H30" s="92">
        <v>2</v>
      </c>
      <c r="I30" s="94">
        <v>404.4</v>
      </c>
      <c r="J30" s="94">
        <v>402.3</v>
      </c>
      <c r="K30" s="94">
        <f>J30</f>
        <v>402.3</v>
      </c>
      <c r="L30" s="98">
        <v>19</v>
      </c>
      <c r="M30" s="92" t="s">
        <v>272</v>
      </c>
      <c r="N30" s="92" t="s">
        <v>274</v>
      </c>
      <c r="O30" s="93">
        <v>1489253.9701477832</v>
      </c>
      <c r="P30" s="93">
        <f t="shared" si="0"/>
        <v>3682.6260389411059</v>
      </c>
      <c r="Q30" s="93">
        <v>4084.8963301186946</v>
      </c>
    </row>
    <row r="31" spans="1:17" ht="35.25" x14ac:dyDescent="0.4">
      <c r="B31" s="97" t="s">
        <v>856</v>
      </c>
      <c r="C31" s="97"/>
      <c r="D31" s="92" t="s">
        <v>915</v>
      </c>
      <c r="E31" s="92" t="s">
        <v>915</v>
      </c>
      <c r="F31" s="92" t="s">
        <v>915</v>
      </c>
      <c r="G31" s="92" t="s">
        <v>915</v>
      </c>
      <c r="H31" s="92" t="s">
        <v>915</v>
      </c>
      <c r="I31" s="94">
        <f>I32+I33</f>
        <v>845.48</v>
      </c>
      <c r="J31" s="94">
        <f>J32+J33</f>
        <v>724.81000000000006</v>
      </c>
      <c r="K31" s="94">
        <f>K32+K33</f>
        <v>544.31000000000006</v>
      </c>
      <c r="L31" s="98">
        <f>L32+L33</f>
        <v>48</v>
      </c>
      <c r="M31" s="92" t="s">
        <v>915</v>
      </c>
      <c r="N31" s="92" t="s">
        <v>915</v>
      </c>
      <c r="O31" s="93">
        <v>3465600.02</v>
      </c>
      <c r="P31" s="93">
        <f t="shared" si="0"/>
        <v>4098.9733878979987</v>
      </c>
      <c r="Q31" s="93">
        <f>MAX(Q32:Q33)</f>
        <v>5679.0347723342938</v>
      </c>
    </row>
    <row r="32" spans="1:17" ht="35.25" x14ac:dyDescent="0.5">
      <c r="A32" s="6">
        <v>1</v>
      </c>
      <c r="B32" s="91">
        <f>SUBTOTAL(103,$A$12:A32)</f>
        <v>15</v>
      </c>
      <c r="C32" s="97" t="s">
        <v>1071</v>
      </c>
      <c r="D32" s="92">
        <v>1962</v>
      </c>
      <c r="E32" s="92"/>
      <c r="F32" s="92" t="s">
        <v>273</v>
      </c>
      <c r="G32" s="92">
        <v>2</v>
      </c>
      <c r="H32" s="92">
        <v>2</v>
      </c>
      <c r="I32" s="94">
        <v>671.98</v>
      </c>
      <c r="J32" s="94">
        <v>624.21</v>
      </c>
      <c r="K32" s="94">
        <f>J32-79.9</f>
        <v>544.31000000000006</v>
      </c>
      <c r="L32" s="98">
        <v>38</v>
      </c>
      <c r="M32" s="92" t="s">
        <v>275</v>
      </c>
      <c r="N32" s="92" t="s">
        <v>291</v>
      </c>
      <c r="O32" s="93">
        <v>2667360.02</v>
      </c>
      <c r="P32" s="93">
        <f t="shared" si="0"/>
        <v>3969.403881067889</v>
      </c>
      <c r="Q32" s="93">
        <v>4899.6584526325187</v>
      </c>
    </row>
    <row r="33" spans="1:17" ht="35.25" x14ac:dyDescent="0.5">
      <c r="A33" s="6">
        <v>1</v>
      </c>
      <c r="B33" s="91">
        <f>SUBTOTAL(103,$A$12:A33)</f>
        <v>16</v>
      </c>
      <c r="C33" s="97" t="s">
        <v>1052</v>
      </c>
      <c r="D33" s="92">
        <v>1964</v>
      </c>
      <c r="E33" s="92"/>
      <c r="F33" s="92" t="s">
        <v>273</v>
      </c>
      <c r="G33" s="92">
        <v>2</v>
      </c>
      <c r="H33" s="92">
        <v>1</v>
      </c>
      <c r="I33" s="94">
        <v>173.5</v>
      </c>
      <c r="J33" s="94">
        <v>100.6</v>
      </c>
      <c r="K33" s="94">
        <v>0</v>
      </c>
      <c r="L33" s="98">
        <v>10</v>
      </c>
      <c r="M33" s="92" t="s">
        <v>272</v>
      </c>
      <c r="N33" s="92" t="s">
        <v>274</v>
      </c>
      <c r="O33" s="93">
        <v>798240</v>
      </c>
      <c r="P33" s="93">
        <f t="shared" si="0"/>
        <v>4600.8069164265125</v>
      </c>
      <c r="Q33" s="93">
        <v>5679.0347723342938</v>
      </c>
    </row>
    <row r="34" spans="1:17" ht="35.25" x14ac:dyDescent="0.4">
      <c r="B34" s="97" t="s">
        <v>785</v>
      </c>
      <c r="C34" s="97"/>
      <c r="D34" s="92" t="s">
        <v>915</v>
      </c>
      <c r="E34" s="92" t="s">
        <v>915</v>
      </c>
      <c r="F34" s="92" t="s">
        <v>915</v>
      </c>
      <c r="G34" s="92" t="s">
        <v>915</v>
      </c>
      <c r="H34" s="92" t="s">
        <v>915</v>
      </c>
      <c r="I34" s="94">
        <f>I35+I36+I37</f>
        <v>2093.1</v>
      </c>
      <c r="J34" s="94">
        <f>J35+J36+J37</f>
        <v>1503.4</v>
      </c>
      <c r="K34" s="94">
        <f>K35+K36+K37</f>
        <v>1335</v>
      </c>
      <c r="L34" s="98">
        <f>L35+L36+L37</f>
        <v>110</v>
      </c>
      <c r="M34" s="92" t="s">
        <v>915</v>
      </c>
      <c r="N34" s="92" t="s">
        <v>915</v>
      </c>
      <c r="O34" s="93">
        <v>5860829.3999999994</v>
      </c>
      <c r="P34" s="93">
        <f t="shared" si="0"/>
        <v>2800.0713773828293</v>
      </c>
      <c r="Q34" s="93">
        <f>MAX(Q35:Q37)</f>
        <v>5130.9720599999991</v>
      </c>
    </row>
    <row r="35" spans="1:17" ht="35.25" x14ac:dyDescent="0.5">
      <c r="A35" s="6">
        <v>1</v>
      </c>
      <c r="B35" s="91">
        <f>SUBTOTAL(103,$A$12:A35)</f>
        <v>17</v>
      </c>
      <c r="C35" s="97" t="s">
        <v>1053</v>
      </c>
      <c r="D35" s="92">
        <v>1960</v>
      </c>
      <c r="E35" s="92"/>
      <c r="F35" s="92" t="s">
        <v>273</v>
      </c>
      <c r="G35" s="92">
        <v>2</v>
      </c>
      <c r="H35" s="92">
        <v>1</v>
      </c>
      <c r="I35" s="94">
        <v>306.60000000000002</v>
      </c>
      <c r="J35" s="94">
        <v>285.8</v>
      </c>
      <c r="K35" s="94">
        <f>J35-33.2</f>
        <v>252.60000000000002</v>
      </c>
      <c r="L35" s="98">
        <v>21</v>
      </c>
      <c r="M35" s="92" t="s">
        <v>272</v>
      </c>
      <c r="N35" s="92" t="s">
        <v>274</v>
      </c>
      <c r="O35" s="93">
        <v>1040984.0299999999</v>
      </c>
      <c r="P35" s="93">
        <f t="shared" si="0"/>
        <v>3395.2512393998691</v>
      </c>
      <c r="Q35" s="93">
        <v>3987.4296457925634</v>
      </c>
    </row>
    <row r="36" spans="1:17" ht="35.25" x14ac:dyDescent="0.5">
      <c r="A36" s="6">
        <v>1</v>
      </c>
      <c r="B36" s="91">
        <f>SUBTOTAL(103,$A$12:A36)</f>
        <v>18</v>
      </c>
      <c r="C36" s="97" t="s">
        <v>809</v>
      </c>
      <c r="D36" s="92">
        <v>1960</v>
      </c>
      <c r="E36" s="92"/>
      <c r="F36" s="92" t="s">
        <v>273</v>
      </c>
      <c r="G36" s="92">
        <v>3</v>
      </c>
      <c r="H36" s="92">
        <v>2</v>
      </c>
      <c r="I36" s="94">
        <v>1286.5</v>
      </c>
      <c r="J36" s="94">
        <v>739.6</v>
      </c>
      <c r="K36" s="94">
        <f>J36-65.9</f>
        <v>673.7</v>
      </c>
      <c r="L36" s="98">
        <v>39</v>
      </c>
      <c r="M36" s="92" t="s">
        <v>272</v>
      </c>
      <c r="N36" s="92" t="s">
        <v>274</v>
      </c>
      <c r="O36" s="93">
        <v>2764152.46</v>
      </c>
      <c r="P36" s="93">
        <f t="shared" si="0"/>
        <v>2148.5833346288377</v>
      </c>
      <c r="Q36" s="93">
        <v>2652.7385619898951</v>
      </c>
    </row>
    <row r="37" spans="1:17" ht="35.25" x14ac:dyDescent="0.5">
      <c r="A37" s="6">
        <v>1</v>
      </c>
      <c r="B37" s="91">
        <f>SUBTOTAL(103,$A$12:A37)</f>
        <v>19</v>
      </c>
      <c r="C37" s="97" t="s">
        <v>801</v>
      </c>
      <c r="D37" s="92">
        <v>1965</v>
      </c>
      <c r="E37" s="92"/>
      <c r="F37" s="92" t="s">
        <v>273</v>
      </c>
      <c r="G37" s="92">
        <v>2</v>
      </c>
      <c r="H37" s="92">
        <v>3</v>
      </c>
      <c r="I37" s="94">
        <v>500</v>
      </c>
      <c r="J37" s="94">
        <v>478</v>
      </c>
      <c r="K37" s="94">
        <f>J37-69.3</f>
        <v>408.7</v>
      </c>
      <c r="L37" s="98">
        <v>50</v>
      </c>
      <c r="M37" s="92" t="s">
        <v>272</v>
      </c>
      <c r="N37" s="92" t="s">
        <v>274</v>
      </c>
      <c r="O37" s="93">
        <v>2055692.91</v>
      </c>
      <c r="P37" s="93">
        <f t="shared" si="0"/>
        <v>4111.3858199999995</v>
      </c>
      <c r="Q37" s="93">
        <v>5130.9720599999991</v>
      </c>
    </row>
    <row r="38" spans="1:17" ht="35.25" x14ac:dyDescent="0.4">
      <c r="B38" s="97" t="s">
        <v>863</v>
      </c>
      <c r="C38" s="97"/>
      <c r="D38" s="92" t="s">
        <v>915</v>
      </c>
      <c r="E38" s="92" t="s">
        <v>915</v>
      </c>
      <c r="F38" s="92" t="s">
        <v>915</v>
      </c>
      <c r="G38" s="92" t="s">
        <v>915</v>
      </c>
      <c r="H38" s="92" t="s">
        <v>915</v>
      </c>
      <c r="I38" s="94">
        <f>I39</f>
        <v>755.8</v>
      </c>
      <c r="J38" s="94">
        <f>J39</f>
        <v>690.5</v>
      </c>
      <c r="K38" s="94">
        <f>K39</f>
        <v>391.9</v>
      </c>
      <c r="L38" s="98">
        <f>L39</f>
        <v>20</v>
      </c>
      <c r="M38" s="92" t="s">
        <v>915</v>
      </c>
      <c r="N38" s="92" t="s">
        <v>915</v>
      </c>
      <c r="O38" s="93">
        <v>2144299</v>
      </c>
      <c r="P38" s="93">
        <f t="shared" si="0"/>
        <v>2837.1249007673991</v>
      </c>
      <c r="Q38" s="93">
        <f>Q39</f>
        <v>3518.493457660757</v>
      </c>
    </row>
    <row r="39" spans="1:17" ht="35.25" x14ac:dyDescent="0.5">
      <c r="A39" s="6">
        <v>1</v>
      </c>
      <c r="B39" s="91">
        <f>SUBTOTAL(103,$A$12:A39)</f>
        <v>20</v>
      </c>
      <c r="C39" s="97" t="s">
        <v>1054</v>
      </c>
      <c r="D39" s="92">
        <v>1953</v>
      </c>
      <c r="E39" s="92"/>
      <c r="F39" s="92" t="s">
        <v>273</v>
      </c>
      <c r="G39" s="92">
        <v>2</v>
      </c>
      <c r="H39" s="92">
        <v>2</v>
      </c>
      <c r="I39" s="94">
        <v>755.8</v>
      </c>
      <c r="J39" s="94">
        <v>690.5</v>
      </c>
      <c r="K39" s="94">
        <f>J39-298.6</f>
        <v>391.9</v>
      </c>
      <c r="L39" s="98">
        <v>20</v>
      </c>
      <c r="M39" s="92" t="s">
        <v>272</v>
      </c>
      <c r="N39" s="92" t="s">
        <v>274</v>
      </c>
      <c r="O39" s="93">
        <v>2144299</v>
      </c>
      <c r="P39" s="93">
        <f t="shared" si="0"/>
        <v>2837.1249007673991</v>
      </c>
      <c r="Q39" s="93">
        <v>3518.493457660757</v>
      </c>
    </row>
    <row r="40" spans="1:17" ht="35.25" x14ac:dyDescent="0.4">
      <c r="B40" s="97" t="s">
        <v>865</v>
      </c>
      <c r="C40" s="97"/>
      <c r="D40" s="92" t="s">
        <v>915</v>
      </c>
      <c r="E40" s="92" t="s">
        <v>915</v>
      </c>
      <c r="F40" s="92" t="s">
        <v>915</v>
      </c>
      <c r="G40" s="92" t="s">
        <v>915</v>
      </c>
      <c r="H40" s="92" t="s">
        <v>915</v>
      </c>
      <c r="I40" s="94">
        <f>I41</f>
        <v>1840.2</v>
      </c>
      <c r="J40" s="94">
        <f>J41</f>
        <v>1606</v>
      </c>
      <c r="K40" s="94">
        <f>K41</f>
        <v>1461.2</v>
      </c>
      <c r="L40" s="98">
        <f>L41</f>
        <v>77</v>
      </c>
      <c r="M40" s="92" t="s">
        <v>915</v>
      </c>
      <c r="N40" s="92" t="s">
        <v>915</v>
      </c>
      <c r="O40" s="93">
        <v>5635847.5700000003</v>
      </c>
      <c r="P40" s="93">
        <f t="shared" si="0"/>
        <v>3062.6277415498316</v>
      </c>
      <c r="Q40" s="93">
        <f>Q41</f>
        <v>3331.8523069775024</v>
      </c>
    </row>
    <row r="41" spans="1:17" ht="35.25" x14ac:dyDescent="0.5">
      <c r="A41" s="6">
        <v>1</v>
      </c>
      <c r="B41" s="91">
        <f>SUBTOTAL(103,$A$12:A41)</f>
        <v>21</v>
      </c>
      <c r="C41" s="97" t="s">
        <v>1055</v>
      </c>
      <c r="D41" s="92">
        <v>1986</v>
      </c>
      <c r="E41" s="92"/>
      <c r="F41" s="92" t="s">
        <v>273</v>
      </c>
      <c r="G41" s="92">
        <v>3</v>
      </c>
      <c r="H41" s="92">
        <v>3</v>
      </c>
      <c r="I41" s="94">
        <v>1840.2</v>
      </c>
      <c r="J41" s="94">
        <v>1606</v>
      </c>
      <c r="K41" s="94">
        <f>J41-144.8</f>
        <v>1461.2</v>
      </c>
      <c r="L41" s="98">
        <v>77</v>
      </c>
      <c r="M41" s="92" t="s">
        <v>349</v>
      </c>
      <c r="N41" s="92" t="s">
        <v>1087</v>
      </c>
      <c r="O41" s="93">
        <v>5635847.5700000003</v>
      </c>
      <c r="P41" s="93">
        <f t="shared" si="0"/>
        <v>3062.6277415498316</v>
      </c>
      <c r="Q41" s="93">
        <v>3331.8523069775024</v>
      </c>
    </row>
    <row r="42" spans="1:17" ht="35.25" x14ac:dyDescent="0.4">
      <c r="B42" s="97" t="s">
        <v>1074</v>
      </c>
      <c r="C42" s="97"/>
      <c r="D42" s="92" t="s">
        <v>915</v>
      </c>
      <c r="E42" s="92" t="s">
        <v>915</v>
      </c>
      <c r="F42" s="92" t="s">
        <v>915</v>
      </c>
      <c r="G42" s="92" t="s">
        <v>915</v>
      </c>
      <c r="H42" s="92" t="s">
        <v>915</v>
      </c>
      <c r="I42" s="94">
        <f>I43+I44+I45</f>
        <v>1542</v>
      </c>
      <c r="J42" s="94">
        <f>J43+J44+J45</f>
        <v>1398.2</v>
      </c>
      <c r="K42" s="94">
        <f>K43+K44+K45</f>
        <v>1169.9000000000001</v>
      </c>
      <c r="L42" s="98">
        <f>L43+L44+L45</f>
        <v>58</v>
      </c>
      <c r="M42" s="92" t="s">
        <v>915</v>
      </c>
      <c r="N42" s="92" t="s">
        <v>915</v>
      </c>
      <c r="O42" s="93">
        <v>7696939.6800000006</v>
      </c>
      <c r="P42" s="93">
        <f t="shared" si="0"/>
        <v>4991.5302723735413</v>
      </c>
      <c r="Q42" s="93">
        <f>MAX(Q43:Q45)</f>
        <v>5947.8016977272728</v>
      </c>
    </row>
    <row r="43" spans="1:17" ht="35.25" x14ac:dyDescent="0.5">
      <c r="A43" s="6">
        <v>1</v>
      </c>
      <c r="B43" s="91">
        <f>SUBTOTAL(103,$A$12:A43)</f>
        <v>22</v>
      </c>
      <c r="C43" s="97" t="s">
        <v>1056</v>
      </c>
      <c r="D43" s="92">
        <v>1950</v>
      </c>
      <c r="E43" s="92"/>
      <c r="F43" s="92" t="s">
        <v>273</v>
      </c>
      <c r="G43" s="92">
        <v>2</v>
      </c>
      <c r="H43" s="92">
        <v>1</v>
      </c>
      <c r="I43" s="94">
        <v>440</v>
      </c>
      <c r="J43" s="94">
        <v>433.9</v>
      </c>
      <c r="K43" s="94">
        <f>J43-53.4</f>
        <v>380.5</v>
      </c>
      <c r="L43" s="98">
        <v>18</v>
      </c>
      <c r="M43" s="92" t="s">
        <v>275</v>
      </c>
      <c r="N43" s="92" t="s">
        <v>329</v>
      </c>
      <c r="O43" s="93">
        <v>2441426.8199999998</v>
      </c>
      <c r="P43" s="93">
        <f t="shared" si="0"/>
        <v>5548.6973181818175</v>
      </c>
      <c r="Q43" s="93">
        <v>5947.8016977272728</v>
      </c>
    </row>
    <row r="44" spans="1:17" ht="35.25" x14ac:dyDescent="0.5">
      <c r="A44" s="6">
        <v>1</v>
      </c>
      <c r="B44" s="91">
        <f>SUBTOTAL(103,$A$12:A44)</f>
        <v>23</v>
      </c>
      <c r="C44" s="97" t="s">
        <v>1057</v>
      </c>
      <c r="D44" s="92">
        <v>1956</v>
      </c>
      <c r="E44" s="92"/>
      <c r="F44" s="92" t="s">
        <v>273</v>
      </c>
      <c r="G44" s="92">
        <v>2</v>
      </c>
      <c r="H44" s="92">
        <v>1</v>
      </c>
      <c r="I44" s="94">
        <v>536.70000000000005</v>
      </c>
      <c r="J44" s="94">
        <v>447.8</v>
      </c>
      <c r="K44" s="94">
        <f>J44-79.8</f>
        <v>368</v>
      </c>
      <c r="L44" s="98">
        <v>13</v>
      </c>
      <c r="M44" s="92" t="s">
        <v>275</v>
      </c>
      <c r="N44" s="92" t="s">
        <v>329</v>
      </c>
      <c r="O44" s="93">
        <v>2516497.92</v>
      </c>
      <c r="P44" s="93">
        <f t="shared" si="0"/>
        <v>4688.8353269983227</v>
      </c>
      <c r="Q44" s="93">
        <v>5541.8386808272771</v>
      </c>
    </row>
    <row r="45" spans="1:17" ht="35.25" x14ac:dyDescent="0.5">
      <c r="A45" s="6">
        <v>1</v>
      </c>
      <c r="B45" s="91">
        <f>SUBTOTAL(103,$A$12:A45)</f>
        <v>24</v>
      </c>
      <c r="C45" s="97" t="s">
        <v>1058</v>
      </c>
      <c r="D45" s="92">
        <v>1963</v>
      </c>
      <c r="E45" s="92"/>
      <c r="F45" s="92" t="s">
        <v>273</v>
      </c>
      <c r="G45" s="92">
        <v>2</v>
      </c>
      <c r="H45" s="92">
        <v>2</v>
      </c>
      <c r="I45" s="94">
        <v>565.29999999999995</v>
      </c>
      <c r="J45" s="94">
        <v>516.5</v>
      </c>
      <c r="K45" s="94">
        <f>J45-95.1</f>
        <v>421.4</v>
      </c>
      <c r="L45" s="98">
        <v>27</v>
      </c>
      <c r="M45" s="92" t="s">
        <v>275</v>
      </c>
      <c r="N45" s="92" t="s">
        <v>335</v>
      </c>
      <c r="O45" s="93">
        <v>2739014.9400000004</v>
      </c>
      <c r="P45" s="93">
        <f t="shared" si="0"/>
        <v>4845.2413585706718</v>
      </c>
      <c r="Q45" s="93">
        <v>5188.0956129488768</v>
      </c>
    </row>
    <row r="46" spans="1:17" ht="35.25" x14ac:dyDescent="0.4">
      <c r="B46" s="97" t="s">
        <v>1075</v>
      </c>
      <c r="C46" s="97"/>
      <c r="D46" s="92" t="s">
        <v>915</v>
      </c>
      <c r="E46" s="92" t="s">
        <v>915</v>
      </c>
      <c r="F46" s="92" t="s">
        <v>915</v>
      </c>
      <c r="G46" s="92" t="s">
        <v>915</v>
      </c>
      <c r="H46" s="92" t="s">
        <v>915</v>
      </c>
      <c r="I46" s="94">
        <f>I47</f>
        <v>970.5</v>
      </c>
      <c r="J46" s="94">
        <f>J47</f>
        <v>874</v>
      </c>
      <c r="K46" s="94">
        <f>K47</f>
        <v>786.4</v>
      </c>
      <c r="L46" s="98">
        <f>L47</f>
        <v>38</v>
      </c>
      <c r="M46" s="92" t="s">
        <v>915</v>
      </c>
      <c r="N46" s="92" t="s">
        <v>915</v>
      </c>
      <c r="O46" s="93">
        <v>3809937.89</v>
      </c>
      <c r="P46" s="93">
        <f t="shared" si="0"/>
        <v>3925.747439464194</v>
      </c>
      <c r="Q46" s="93">
        <f>Q47</f>
        <v>4682.0525267387939</v>
      </c>
    </row>
    <row r="47" spans="1:17" ht="35.25" x14ac:dyDescent="0.5">
      <c r="A47" s="6">
        <v>1</v>
      </c>
      <c r="B47" s="91">
        <f>SUBTOTAL(103,$A$12:A47)</f>
        <v>25</v>
      </c>
      <c r="C47" s="97" t="s">
        <v>1063</v>
      </c>
      <c r="D47" s="92">
        <v>1974</v>
      </c>
      <c r="E47" s="92"/>
      <c r="F47" s="92" t="s">
        <v>273</v>
      </c>
      <c r="G47" s="92">
        <v>2</v>
      </c>
      <c r="H47" s="92">
        <v>3</v>
      </c>
      <c r="I47" s="94">
        <v>970.5</v>
      </c>
      <c r="J47" s="94">
        <v>874</v>
      </c>
      <c r="K47" s="94">
        <f>J47-87.6</f>
        <v>786.4</v>
      </c>
      <c r="L47" s="98">
        <v>38</v>
      </c>
      <c r="M47" s="92" t="s">
        <v>275</v>
      </c>
      <c r="N47" s="92" t="s">
        <v>300</v>
      </c>
      <c r="O47" s="93">
        <v>3809937.89</v>
      </c>
      <c r="P47" s="93">
        <f t="shared" si="0"/>
        <v>3925.747439464194</v>
      </c>
      <c r="Q47" s="93">
        <v>4682.0525267387939</v>
      </c>
    </row>
    <row r="48" spans="1:17" ht="35.25" x14ac:dyDescent="0.4">
      <c r="B48" s="97" t="s">
        <v>876</v>
      </c>
      <c r="C48" s="97"/>
      <c r="D48" s="92" t="s">
        <v>915</v>
      </c>
      <c r="E48" s="92" t="s">
        <v>915</v>
      </c>
      <c r="F48" s="92" t="s">
        <v>915</v>
      </c>
      <c r="G48" s="92" t="s">
        <v>915</v>
      </c>
      <c r="H48" s="92" t="s">
        <v>915</v>
      </c>
      <c r="I48" s="94">
        <f>I49</f>
        <v>465</v>
      </c>
      <c r="J48" s="94">
        <f>J49</f>
        <v>424.6</v>
      </c>
      <c r="K48" s="94">
        <f>K49</f>
        <v>175.8</v>
      </c>
      <c r="L48" s="98">
        <f>L49</f>
        <v>26</v>
      </c>
      <c r="M48" s="92" t="s">
        <v>915</v>
      </c>
      <c r="N48" s="92" t="s">
        <v>915</v>
      </c>
      <c r="O48" s="93">
        <v>1692000</v>
      </c>
      <c r="P48" s="93">
        <f t="shared" si="0"/>
        <v>3638.7096774193546</v>
      </c>
      <c r="Q48" s="93">
        <f>Q49</f>
        <v>4491.4640322580644</v>
      </c>
    </row>
    <row r="49" spans="1:17" ht="35.25" x14ac:dyDescent="0.5">
      <c r="A49" s="6">
        <v>1</v>
      </c>
      <c r="B49" s="91">
        <f>SUBTOTAL(103,$A$12:A49)</f>
        <v>26</v>
      </c>
      <c r="C49" s="97" t="s">
        <v>1059</v>
      </c>
      <c r="D49" s="92">
        <v>1953</v>
      </c>
      <c r="E49" s="92"/>
      <c r="F49" s="92" t="s">
        <v>273</v>
      </c>
      <c r="G49" s="92">
        <v>2</v>
      </c>
      <c r="H49" s="92">
        <v>1</v>
      </c>
      <c r="I49" s="94">
        <v>465</v>
      </c>
      <c r="J49" s="94">
        <v>424.6</v>
      </c>
      <c r="K49" s="94">
        <f>J49-248.8</f>
        <v>175.8</v>
      </c>
      <c r="L49" s="98">
        <v>26</v>
      </c>
      <c r="M49" s="92" t="s">
        <v>272</v>
      </c>
      <c r="N49" s="92" t="s">
        <v>274</v>
      </c>
      <c r="O49" s="93">
        <v>1692000</v>
      </c>
      <c r="P49" s="93">
        <f t="shared" si="0"/>
        <v>3638.7096774193546</v>
      </c>
      <c r="Q49" s="93">
        <v>4491.4640322580644</v>
      </c>
    </row>
    <row r="50" spans="1:17" ht="35.25" x14ac:dyDescent="0.4">
      <c r="B50" s="97" t="s">
        <v>882</v>
      </c>
      <c r="C50" s="97"/>
      <c r="D50" s="92" t="s">
        <v>915</v>
      </c>
      <c r="E50" s="92" t="s">
        <v>915</v>
      </c>
      <c r="F50" s="92" t="s">
        <v>915</v>
      </c>
      <c r="G50" s="92" t="s">
        <v>915</v>
      </c>
      <c r="H50" s="92" t="s">
        <v>915</v>
      </c>
      <c r="I50" s="94">
        <f>I51</f>
        <v>943.2</v>
      </c>
      <c r="J50" s="94">
        <f>J51</f>
        <v>861.5</v>
      </c>
      <c r="K50" s="94">
        <f>K51</f>
        <v>816.5</v>
      </c>
      <c r="L50" s="98">
        <f>L51</f>
        <v>31</v>
      </c>
      <c r="M50" s="92" t="s">
        <v>915</v>
      </c>
      <c r="N50" s="92" t="s">
        <v>915</v>
      </c>
      <c r="O50" s="93">
        <v>3214510.5</v>
      </c>
      <c r="P50" s="93">
        <f t="shared" si="0"/>
        <v>3408.090012722646</v>
      </c>
      <c r="Q50" s="93">
        <f>Q51</f>
        <v>5490.21558524173</v>
      </c>
    </row>
    <row r="51" spans="1:17" ht="35.25" x14ac:dyDescent="0.5">
      <c r="A51" s="6">
        <v>1</v>
      </c>
      <c r="B51" s="91">
        <f>SUBTOTAL(103,$A$12:A51)</f>
        <v>27</v>
      </c>
      <c r="C51" s="97" t="s">
        <v>1062</v>
      </c>
      <c r="D51" s="92">
        <v>1980</v>
      </c>
      <c r="E51" s="92"/>
      <c r="F51" s="92" t="s">
        <v>273</v>
      </c>
      <c r="G51" s="92">
        <v>2</v>
      </c>
      <c r="H51" s="92">
        <v>3</v>
      </c>
      <c r="I51" s="94">
        <v>943.2</v>
      </c>
      <c r="J51" s="94">
        <v>861.5</v>
      </c>
      <c r="K51" s="94">
        <f>J51-45</f>
        <v>816.5</v>
      </c>
      <c r="L51" s="98">
        <v>31</v>
      </c>
      <c r="M51" s="92" t="s">
        <v>275</v>
      </c>
      <c r="N51" s="92" t="s">
        <v>288</v>
      </c>
      <c r="O51" s="93">
        <v>3214510.5</v>
      </c>
      <c r="P51" s="93">
        <f t="shared" si="0"/>
        <v>3408.090012722646</v>
      </c>
      <c r="Q51" s="93">
        <v>5490.21558524173</v>
      </c>
    </row>
    <row r="52" spans="1:17" ht="35.25" x14ac:dyDescent="0.4">
      <c r="B52" s="97" t="s">
        <v>884</v>
      </c>
      <c r="C52" s="97"/>
      <c r="D52" s="92" t="s">
        <v>915</v>
      </c>
      <c r="E52" s="92" t="s">
        <v>915</v>
      </c>
      <c r="F52" s="92" t="s">
        <v>915</v>
      </c>
      <c r="G52" s="92" t="s">
        <v>915</v>
      </c>
      <c r="H52" s="92" t="s">
        <v>915</v>
      </c>
      <c r="I52" s="94">
        <f>I54+I53+I55</f>
        <v>2249.1999999999998</v>
      </c>
      <c r="J52" s="94">
        <f>J54+J53+J55</f>
        <v>2068.4</v>
      </c>
      <c r="K52" s="94">
        <f>K54+K53+K55</f>
        <v>2023.6000000000001</v>
      </c>
      <c r="L52" s="98">
        <f>L54+L53+L55</f>
        <v>104</v>
      </c>
      <c r="M52" s="92" t="s">
        <v>915</v>
      </c>
      <c r="N52" s="92" t="s">
        <v>915</v>
      </c>
      <c r="O52" s="93">
        <v>6200280.5599999996</v>
      </c>
      <c r="P52" s="93">
        <f t="shared" si="0"/>
        <v>2756.6603948070424</v>
      </c>
      <c r="Q52" s="93">
        <f>MAX(Q53:Q55)</f>
        <v>7745.4028981917263</v>
      </c>
    </row>
    <row r="53" spans="1:17" ht="35.25" x14ac:dyDescent="0.5">
      <c r="A53" s="6">
        <v>1</v>
      </c>
      <c r="B53" s="91">
        <f>SUBTOTAL(103,$A$12:A53)</f>
        <v>28</v>
      </c>
      <c r="C53" s="97" t="s">
        <v>1107</v>
      </c>
      <c r="D53" s="92">
        <v>1980</v>
      </c>
      <c r="E53" s="92"/>
      <c r="F53" s="92" t="s">
        <v>326</v>
      </c>
      <c r="G53" s="92">
        <v>3</v>
      </c>
      <c r="H53" s="92">
        <v>3</v>
      </c>
      <c r="I53" s="94">
        <v>1481.6</v>
      </c>
      <c r="J53" s="94">
        <v>1361.4</v>
      </c>
      <c r="K53" s="94">
        <v>1361.4</v>
      </c>
      <c r="L53" s="98">
        <v>70</v>
      </c>
      <c r="M53" s="92" t="s">
        <v>272</v>
      </c>
      <c r="N53" s="92" t="s">
        <v>274</v>
      </c>
      <c r="O53" s="93">
        <v>2125397.4</v>
      </c>
      <c r="P53" s="93">
        <f t="shared" si="0"/>
        <v>1434.5284827213823</v>
      </c>
      <c r="Q53" s="93">
        <v>2482.9755797786179</v>
      </c>
    </row>
    <row r="54" spans="1:17" ht="35.25" x14ac:dyDescent="0.5">
      <c r="A54" s="6">
        <v>1</v>
      </c>
      <c r="B54" s="91">
        <f>SUBTOTAL(103,$A$12:A54)</f>
        <v>29</v>
      </c>
      <c r="C54" s="97" t="s">
        <v>1060</v>
      </c>
      <c r="D54" s="92">
        <v>1970</v>
      </c>
      <c r="E54" s="92"/>
      <c r="F54" s="92" t="s">
        <v>273</v>
      </c>
      <c r="G54" s="92">
        <v>2</v>
      </c>
      <c r="H54" s="92">
        <v>1</v>
      </c>
      <c r="I54" s="94">
        <v>403.7</v>
      </c>
      <c r="J54" s="94">
        <v>373</v>
      </c>
      <c r="K54" s="94">
        <f>J54-44.8</f>
        <v>328.2</v>
      </c>
      <c r="L54" s="98">
        <v>20</v>
      </c>
      <c r="M54" s="92" t="s">
        <v>272</v>
      </c>
      <c r="N54" s="92" t="s">
        <v>274</v>
      </c>
      <c r="O54" s="93">
        <v>2324222.61</v>
      </c>
      <c r="P54" s="93">
        <f t="shared" si="0"/>
        <v>5757.3014862521677</v>
      </c>
      <c r="Q54" s="93">
        <v>7745.4028981917263</v>
      </c>
    </row>
    <row r="55" spans="1:17" ht="35.25" x14ac:dyDescent="0.5">
      <c r="A55" s="6">
        <v>1</v>
      </c>
      <c r="B55" s="91">
        <f>SUBTOTAL(103,$A$12:A55)</f>
        <v>30</v>
      </c>
      <c r="C55" s="97" t="s">
        <v>196</v>
      </c>
      <c r="D55" s="92">
        <v>1968</v>
      </c>
      <c r="E55" s="92"/>
      <c r="F55" s="92" t="s">
        <v>273</v>
      </c>
      <c r="G55" s="92">
        <v>2</v>
      </c>
      <c r="H55" s="92">
        <v>1</v>
      </c>
      <c r="I55" s="94">
        <v>363.9</v>
      </c>
      <c r="J55" s="94">
        <v>334</v>
      </c>
      <c r="K55" s="94">
        <v>334</v>
      </c>
      <c r="L55" s="98">
        <v>14</v>
      </c>
      <c r="M55" s="92" t="s">
        <v>272</v>
      </c>
      <c r="N55" s="93" t="s">
        <v>274</v>
      </c>
      <c r="O55" s="93">
        <v>1750660.55</v>
      </c>
      <c r="P55" s="93">
        <f t="shared" si="0"/>
        <v>4810.828661720253</v>
      </c>
      <c r="Q55" s="93">
        <v>5047.3264633140971</v>
      </c>
    </row>
    <row r="56" spans="1:17" ht="35.25" x14ac:dyDescent="0.4">
      <c r="B56" s="97" t="s">
        <v>883</v>
      </c>
      <c r="C56" s="97"/>
      <c r="D56" s="92" t="s">
        <v>915</v>
      </c>
      <c r="E56" s="92" t="s">
        <v>915</v>
      </c>
      <c r="F56" s="92" t="s">
        <v>915</v>
      </c>
      <c r="G56" s="92" t="s">
        <v>915</v>
      </c>
      <c r="H56" s="92" t="s">
        <v>915</v>
      </c>
      <c r="I56" s="94">
        <f>I57</f>
        <v>940.4</v>
      </c>
      <c r="J56" s="94">
        <f>J57</f>
        <v>558.4</v>
      </c>
      <c r="K56" s="94">
        <f>K57</f>
        <v>558.4</v>
      </c>
      <c r="L56" s="98">
        <f>L57</f>
        <v>26</v>
      </c>
      <c r="M56" s="92" t="s">
        <v>915</v>
      </c>
      <c r="N56" s="92" t="s">
        <v>915</v>
      </c>
      <c r="O56" s="93">
        <v>2164797.61</v>
      </c>
      <c r="P56" s="93">
        <f t="shared" si="0"/>
        <v>2301.996607826457</v>
      </c>
      <c r="Q56" s="93">
        <f>Q57</f>
        <v>3623.9985452998726</v>
      </c>
    </row>
    <row r="57" spans="1:17" ht="35.25" x14ac:dyDescent="0.5">
      <c r="A57" s="6">
        <v>1</v>
      </c>
      <c r="B57" s="91">
        <f>SUBTOTAL(103,$A$12:A57)</f>
        <v>31</v>
      </c>
      <c r="C57" s="97" t="s">
        <v>1097</v>
      </c>
      <c r="D57" s="92">
        <v>1987</v>
      </c>
      <c r="E57" s="92"/>
      <c r="F57" s="92" t="s">
        <v>273</v>
      </c>
      <c r="G57" s="99">
        <v>2</v>
      </c>
      <c r="H57" s="99">
        <v>2</v>
      </c>
      <c r="I57" s="94">
        <v>940.4</v>
      </c>
      <c r="J57" s="94">
        <v>558.4</v>
      </c>
      <c r="K57" s="94">
        <f>J57</f>
        <v>558.4</v>
      </c>
      <c r="L57" s="98">
        <v>26</v>
      </c>
      <c r="M57" s="92" t="s">
        <v>275</v>
      </c>
      <c r="N57" s="92" t="s">
        <v>1099</v>
      </c>
      <c r="O57" s="93">
        <v>2164797.61</v>
      </c>
      <c r="P57" s="93">
        <f t="shared" si="0"/>
        <v>2301.996607826457</v>
      </c>
      <c r="Q57" s="93">
        <v>3623.9985452998726</v>
      </c>
    </row>
    <row r="58" spans="1:17" ht="35.25" x14ac:dyDescent="0.5">
      <c r="B58" s="113" t="s">
        <v>859</v>
      </c>
      <c r="C58" s="97"/>
      <c r="D58" s="92" t="s">
        <v>915</v>
      </c>
      <c r="E58" s="92" t="s">
        <v>915</v>
      </c>
      <c r="F58" s="92" t="s">
        <v>915</v>
      </c>
      <c r="G58" s="99" t="s">
        <v>915</v>
      </c>
      <c r="H58" s="99" t="s">
        <v>915</v>
      </c>
      <c r="I58" s="94">
        <f>I59</f>
        <v>1743.7</v>
      </c>
      <c r="J58" s="94">
        <f>J59</f>
        <v>1557.1</v>
      </c>
      <c r="K58" s="94">
        <f>K59</f>
        <v>1557.1</v>
      </c>
      <c r="L58" s="98">
        <f>L59</f>
        <v>65</v>
      </c>
      <c r="M58" s="92" t="s">
        <v>915</v>
      </c>
      <c r="N58" s="92" t="s">
        <v>915</v>
      </c>
      <c r="O58" s="93">
        <v>3748625</v>
      </c>
      <c r="P58" s="93">
        <f t="shared" si="0"/>
        <v>2149.8107472615702</v>
      </c>
      <c r="Q58" s="93">
        <f>Q59</f>
        <v>2429.4951253082522</v>
      </c>
    </row>
    <row r="59" spans="1:17" ht="35.25" x14ac:dyDescent="0.5">
      <c r="A59" s="6">
        <v>1</v>
      </c>
      <c r="B59" s="91">
        <f>SUBTOTAL(103,$A$12:A59)</f>
        <v>32</v>
      </c>
      <c r="C59" s="97" t="s">
        <v>1431</v>
      </c>
      <c r="D59" s="92">
        <v>1978</v>
      </c>
      <c r="E59" s="92"/>
      <c r="F59" s="92" t="s">
        <v>273</v>
      </c>
      <c r="G59" s="99">
        <v>3</v>
      </c>
      <c r="H59" s="99">
        <v>3</v>
      </c>
      <c r="I59" s="94">
        <v>1743.7</v>
      </c>
      <c r="J59" s="94">
        <v>1557.1</v>
      </c>
      <c r="K59" s="94">
        <v>1557.1</v>
      </c>
      <c r="L59" s="98">
        <v>65</v>
      </c>
      <c r="M59" s="92" t="s">
        <v>275</v>
      </c>
      <c r="N59" s="92" t="s">
        <v>835</v>
      </c>
      <c r="O59" s="93">
        <v>3748625</v>
      </c>
      <c r="P59" s="93">
        <f t="shared" si="0"/>
        <v>2149.8107472615702</v>
      </c>
      <c r="Q59" s="93">
        <v>2429.4951253082522</v>
      </c>
    </row>
    <row r="60" spans="1:17" ht="35.25" x14ac:dyDescent="0.5">
      <c r="B60" s="113" t="s">
        <v>895</v>
      </c>
      <c r="C60" s="97"/>
      <c r="D60" s="92" t="s">
        <v>915</v>
      </c>
      <c r="E60" s="92" t="s">
        <v>915</v>
      </c>
      <c r="F60" s="92" t="s">
        <v>915</v>
      </c>
      <c r="G60" s="99" t="s">
        <v>915</v>
      </c>
      <c r="H60" s="99" t="s">
        <v>915</v>
      </c>
      <c r="I60" s="94">
        <f>I61</f>
        <v>1105.0999999999999</v>
      </c>
      <c r="J60" s="94">
        <f>J61</f>
        <v>953.3</v>
      </c>
      <c r="K60" s="94">
        <f>K61</f>
        <v>870.1</v>
      </c>
      <c r="L60" s="98">
        <f>L61</f>
        <v>44</v>
      </c>
      <c r="M60" s="92" t="s">
        <v>915</v>
      </c>
      <c r="N60" s="92" t="s">
        <v>915</v>
      </c>
      <c r="O60" s="93">
        <v>1359068.46</v>
      </c>
      <c r="P60" s="93">
        <f t="shared" si="0"/>
        <v>1229.8149126775859</v>
      </c>
      <c r="Q60" s="93">
        <f>Q61</f>
        <v>1229.8149126775859</v>
      </c>
    </row>
    <row r="61" spans="1:17" ht="35.25" x14ac:dyDescent="0.5">
      <c r="A61" s="6">
        <v>1</v>
      </c>
      <c r="B61" s="91">
        <f>SUBTOTAL(103,$A$12:A61)</f>
        <v>33</v>
      </c>
      <c r="C61" s="97" t="s">
        <v>1432</v>
      </c>
      <c r="D61" s="92">
        <v>1979</v>
      </c>
      <c r="E61" s="92"/>
      <c r="F61" s="92" t="s">
        <v>273</v>
      </c>
      <c r="G61" s="99">
        <v>2</v>
      </c>
      <c r="H61" s="99">
        <v>3</v>
      </c>
      <c r="I61" s="94">
        <v>1105.0999999999999</v>
      </c>
      <c r="J61" s="94">
        <v>953.3</v>
      </c>
      <c r="K61" s="94">
        <v>870.1</v>
      </c>
      <c r="L61" s="98">
        <v>44</v>
      </c>
      <c r="M61" s="92" t="s">
        <v>275</v>
      </c>
      <c r="N61" s="92" t="s">
        <v>1387</v>
      </c>
      <c r="O61" s="93">
        <v>1359068.46</v>
      </c>
      <c r="P61" s="93">
        <f t="shared" si="0"/>
        <v>1229.8149126775859</v>
      </c>
      <c r="Q61" s="93">
        <v>1229.8149126775859</v>
      </c>
    </row>
    <row r="62" spans="1:17" ht="45.75" x14ac:dyDescent="0.25">
      <c r="B62" s="323" t="s">
        <v>1433</v>
      </c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5"/>
    </row>
    <row r="63" spans="1:17" ht="35.25" x14ac:dyDescent="0.5">
      <c r="B63" s="114" t="s">
        <v>1076</v>
      </c>
      <c r="C63" s="114"/>
      <c r="D63" s="115" t="s">
        <v>776</v>
      </c>
      <c r="E63" s="115" t="s">
        <v>776</v>
      </c>
      <c r="F63" s="116" t="s">
        <v>776</v>
      </c>
      <c r="G63" s="116" t="s">
        <v>776</v>
      </c>
      <c r="H63" s="116" t="s">
        <v>776</v>
      </c>
      <c r="I63" s="101">
        <f>I64+I71+I74+I90+I97+I102+I129+I143+I149+I152+I154+I156+I161+I163+I165+I168+I171+I173+I175+I179+I181+I183+I185+I187+I189+I191+I194</f>
        <v>271472.9200000001</v>
      </c>
      <c r="J63" s="101">
        <f>J64+J71+J74+J90+J97+J102+J129+J143+J149+J152+J154+J156+J161+J163+J165+J168+J171+J173+J175+J179+J181+J183+J185+J187+J189+J191+J194</f>
        <v>227152.54</v>
      </c>
      <c r="K63" s="101">
        <f>K64+K71+K74+K90+K97+K102+K129+K143+K149+K152+K154+K156+K161+K163+K165+K168+K171+K173+K175+K179+K181+K183+K185+K187+K189+K191+K194</f>
        <v>201081.83999999994</v>
      </c>
      <c r="L63" s="117">
        <f>L64+L71+L74+L90+L97+L102+L129+L143+L149+L152+L154+L156+L161+L163+L165+L168+L171+L173+L175+L179+L181+L183+L185+L187+L189+L191+L194</f>
        <v>11375</v>
      </c>
      <c r="M63" s="115" t="s">
        <v>915</v>
      </c>
      <c r="N63" s="118" t="s">
        <v>915</v>
      </c>
      <c r="O63" s="101">
        <v>44635323.25999999</v>
      </c>
      <c r="P63" s="101">
        <f>O63/I63</f>
        <v>164.41906345575822</v>
      </c>
      <c r="Q63" s="101">
        <f>MAX(Q64:Q195)</f>
        <v>12178.230777005687</v>
      </c>
    </row>
    <row r="64" spans="1:17" ht="35.25" x14ac:dyDescent="0.5">
      <c r="B64" s="114" t="s">
        <v>840</v>
      </c>
      <c r="C64" s="114"/>
      <c r="D64" s="115" t="s">
        <v>776</v>
      </c>
      <c r="E64" s="115" t="s">
        <v>776</v>
      </c>
      <c r="F64" s="116" t="s">
        <v>776</v>
      </c>
      <c r="G64" s="115" t="s">
        <v>776</v>
      </c>
      <c r="H64" s="115" t="s">
        <v>776</v>
      </c>
      <c r="I64" s="101">
        <f>SUM(I65:I70)</f>
        <v>13682.619999999999</v>
      </c>
      <c r="J64" s="101">
        <f>SUM(J65:J70)</f>
        <v>11157.02</v>
      </c>
      <c r="K64" s="101">
        <f>SUM(K65:K70)</f>
        <v>10128.199999999999</v>
      </c>
      <c r="L64" s="117">
        <f>SUM(L65:L70)</f>
        <v>744</v>
      </c>
      <c r="M64" s="115" t="s">
        <v>915</v>
      </c>
      <c r="N64" s="115" t="s">
        <v>915</v>
      </c>
      <c r="O64" s="101">
        <v>3987879.6799999997</v>
      </c>
      <c r="P64" s="101">
        <f t="shared" ref="P64:P126" si="1">O64/I64</f>
        <v>291.45585275334696</v>
      </c>
      <c r="Q64" s="101">
        <f>MAX(Q65:Q70)</f>
        <v>3255.5992610487424</v>
      </c>
    </row>
    <row r="65" spans="1:17" ht="35.25" x14ac:dyDescent="0.5">
      <c r="A65" s="6">
        <v>1</v>
      </c>
      <c r="B65" s="91">
        <f>SUBTOTAL(103,$A$65:A65)</f>
        <v>1</v>
      </c>
      <c r="C65" s="119" t="s">
        <v>640</v>
      </c>
      <c r="D65" s="115">
        <v>1965</v>
      </c>
      <c r="E65" s="115"/>
      <c r="F65" s="116" t="s">
        <v>273</v>
      </c>
      <c r="G65" s="115">
        <v>5</v>
      </c>
      <c r="H65" s="115">
        <v>2</v>
      </c>
      <c r="I65" s="101">
        <v>2985.38</v>
      </c>
      <c r="J65" s="101">
        <v>2398.58</v>
      </c>
      <c r="K65" s="101">
        <v>1889.27</v>
      </c>
      <c r="L65" s="117">
        <v>202</v>
      </c>
      <c r="M65" s="115" t="s">
        <v>275</v>
      </c>
      <c r="N65" s="115" t="s">
        <v>1343</v>
      </c>
      <c r="O65" s="101">
        <v>806603.3</v>
      </c>
      <c r="P65" s="101">
        <f t="shared" si="1"/>
        <v>270.18446562916614</v>
      </c>
      <c r="Q65" s="101">
        <v>1690.5179032484975</v>
      </c>
    </row>
    <row r="66" spans="1:17" ht="35.25" x14ac:dyDescent="0.5">
      <c r="A66" s="6">
        <v>1</v>
      </c>
      <c r="B66" s="91">
        <f>SUBTOTAL(103,$A$65:A66)</f>
        <v>2</v>
      </c>
      <c r="C66" s="119" t="s">
        <v>1449</v>
      </c>
      <c r="D66" s="115">
        <v>1986</v>
      </c>
      <c r="E66" s="115"/>
      <c r="F66" s="116" t="s">
        <v>273</v>
      </c>
      <c r="G66" s="115">
        <v>4</v>
      </c>
      <c r="H66" s="115">
        <v>1</v>
      </c>
      <c r="I66" s="101">
        <v>2374.1999999999998</v>
      </c>
      <c r="J66" s="101">
        <v>1689.3</v>
      </c>
      <c r="K66" s="101">
        <v>1639.4</v>
      </c>
      <c r="L66" s="117">
        <v>151</v>
      </c>
      <c r="M66" s="115" t="s">
        <v>275</v>
      </c>
      <c r="N66" s="118" t="s">
        <v>1547</v>
      </c>
      <c r="O66" s="101">
        <v>746025</v>
      </c>
      <c r="P66" s="101">
        <f t="shared" si="1"/>
        <v>314.22163254991159</v>
      </c>
      <c r="Q66" s="101">
        <v>2249.728904473086</v>
      </c>
    </row>
    <row r="67" spans="1:17" ht="35.25" x14ac:dyDescent="0.5">
      <c r="A67" s="6">
        <v>1</v>
      </c>
      <c r="B67" s="91">
        <f>SUBTOTAL(103,$A$65:A67)</f>
        <v>3</v>
      </c>
      <c r="C67" s="119" t="s">
        <v>1450</v>
      </c>
      <c r="D67" s="115">
        <v>1969</v>
      </c>
      <c r="E67" s="115"/>
      <c r="F67" s="116" t="s">
        <v>273</v>
      </c>
      <c r="G67" s="115">
        <v>5</v>
      </c>
      <c r="H67" s="115">
        <v>4</v>
      </c>
      <c r="I67" s="101">
        <v>2953.64</v>
      </c>
      <c r="J67" s="101">
        <v>2684.14</v>
      </c>
      <c r="K67" s="101">
        <v>2616.34</v>
      </c>
      <c r="L67" s="117">
        <v>107</v>
      </c>
      <c r="M67" s="115" t="s">
        <v>275</v>
      </c>
      <c r="N67" s="118" t="s">
        <v>1108</v>
      </c>
      <c r="O67" s="101">
        <v>1849341.27</v>
      </c>
      <c r="P67" s="101">
        <f t="shared" si="1"/>
        <v>626.12277393318084</v>
      </c>
      <c r="Q67" s="101">
        <v>1626.8407828983898</v>
      </c>
    </row>
    <row r="68" spans="1:17" ht="35.25" x14ac:dyDescent="0.5">
      <c r="A68" s="6">
        <v>1</v>
      </c>
      <c r="B68" s="91">
        <f>SUBTOTAL(103,$A$65:A68)</f>
        <v>4</v>
      </c>
      <c r="C68" s="119" t="s">
        <v>1451</v>
      </c>
      <c r="D68" s="115">
        <v>1928</v>
      </c>
      <c r="E68" s="115"/>
      <c r="F68" s="116" t="s">
        <v>273</v>
      </c>
      <c r="G68" s="115">
        <v>3</v>
      </c>
      <c r="H68" s="115">
        <v>2</v>
      </c>
      <c r="I68" s="101">
        <v>884.1</v>
      </c>
      <c r="J68" s="101">
        <v>763.7</v>
      </c>
      <c r="K68" s="101">
        <v>441.4</v>
      </c>
      <c r="L68" s="117">
        <v>48</v>
      </c>
      <c r="M68" s="115" t="s">
        <v>275</v>
      </c>
      <c r="N68" s="115" t="s">
        <v>1548</v>
      </c>
      <c r="O68" s="101">
        <v>293914.46999999997</v>
      </c>
      <c r="P68" s="101">
        <f t="shared" si="1"/>
        <v>332.44482524601284</v>
      </c>
      <c r="Q68" s="101">
        <v>703.11</v>
      </c>
    </row>
    <row r="69" spans="1:17" ht="35.25" x14ac:dyDescent="0.5">
      <c r="A69" s="6">
        <v>1</v>
      </c>
      <c r="B69" s="91">
        <f>SUBTOTAL(103,$A$65:A69)</f>
        <v>5</v>
      </c>
      <c r="C69" s="119" t="s">
        <v>1452</v>
      </c>
      <c r="D69" s="115">
        <v>1958</v>
      </c>
      <c r="E69" s="115"/>
      <c r="F69" s="116" t="s">
        <v>273</v>
      </c>
      <c r="G69" s="115">
        <v>3</v>
      </c>
      <c r="H69" s="115">
        <v>3</v>
      </c>
      <c r="I69" s="101">
        <v>2111.1</v>
      </c>
      <c r="J69" s="101">
        <v>1932</v>
      </c>
      <c r="K69" s="101">
        <v>1902.39</v>
      </c>
      <c r="L69" s="117">
        <v>85</v>
      </c>
      <c r="M69" s="115" t="s">
        <v>272</v>
      </c>
      <c r="N69" s="115" t="s">
        <v>274</v>
      </c>
      <c r="O69" s="101">
        <v>179920.82</v>
      </c>
      <c r="P69" s="101">
        <f t="shared" si="1"/>
        <v>85.226100137369144</v>
      </c>
      <c r="Q69" s="101">
        <v>3255.5992610487424</v>
      </c>
    </row>
    <row r="70" spans="1:17" ht="35.25" x14ac:dyDescent="0.5">
      <c r="A70" s="6">
        <v>1</v>
      </c>
      <c r="B70" s="91">
        <f>SUBTOTAL(103,$A$65:A70)</f>
        <v>6</v>
      </c>
      <c r="C70" s="119" t="s">
        <v>1453</v>
      </c>
      <c r="D70" s="115">
        <v>1986</v>
      </c>
      <c r="E70" s="115"/>
      <c r="F70" s="116" t="s">
        <v>273</v>
      </c>
      <c r="G70" s="115">
        <v>4</v>
      </c>
      <c r="H70" s="115">
        <v>1</v>
      </c>
      <c r="I70" s="101">
        <v>2374.1999999999998</v>
      </c>
      <c r="J70" s="101">
        <v>1689.3</v>
      </c>
      <c r="K70" s="101">
        <v>1639.4</v>
      </c>
      <c r="L70" s="117">
        <v>151</v>
      </c>
      <c r="M70" s="115" t="s">
        <v>275</v>
      </c>
      <c r="N70" s="115" t="s">
        <v>1547</v>
      </c>
      <c r="O70" s="101">
        <v>112074.81999999999</v>
      </c>
      <c r="P70" s="101">
        <f t="shared" si="1"/>
        <v>47.205298626905908</v>
      </c>
      <c r="Q70" s="101">
        <v>2745.0935051806928</v>
      </c>
    </row>
    <row r="71" spans="1:17" ht="35.25" x14ac:dyDescent="0.5">
      <c r="B71" s="114" t="s">
        <v>844</v>
      </c>
      <c r="C71" s="119"/>
      <c r="D71" s="115" t="s">
        <v>776</v>
      </c>
      <c r="E71" s="115" t="s">
        <v>776</v>
      </c>
      <c r="F71" s="115" t="s">
        <v>776</v>
      </c>
      <c r="G71" s="115" t="s">
        <v>776</v>
      </c>
      <c r="H71" s="115" t="s">
        <v>776</v>
      </c>
      <c r="I71" s="101">
        <f>I72+I73</f>
        <v>1994.9</v>
      </c>
      <c r="J71" s="101">
        <f>J72+J73</f>
        <v>1785.1999999999998</v>
      </c>
      <c r="K71" s="101">
        <f>K72+K73</f>
        <v>1722.9</v>
      </c>
      <c r="L71" s="117">
        <f>L72+L73</f>
        <v>91</v>
      </c>
      <c r="M71" s="115" t="s">
        <v>915</v>
      </c>
      <c r="N71" s="115" t="s">
        <v>915</v>
      </c>
      <c r="O71" s="101">
        <v>36746.29</v>
      </c>
      <c r="P71" s="101">
        <f t="shared" si="1"/>
        <v>18.420116296556216</v>
      </c>
      <c r="Q71" s="101">
        <f>MAX(Q72:Q73)</f>
        <v>5198.0790353209268</v>
      </c>
    </row>
    <row r="72" spans="1:17" ht="35.25" x14ac:dyDescent="0.5">
      <c r="A72" s="6">
        <v>1</v>
      </c>
      <c r="B72" s="91">
        <f>SUBTOTAL(103,$A$65:A72)</f>
        <v>7</v>
      </c>
      <c r="C72" s="119" t="s">
        <v>1454</v>
      </c>
      <c r="D72" s="115">
        <v>1979</v>
      </c>
      <c r="E72" s="115"/>
      <c r="F72" s="116" t="s">
        <v>273</v>
      </c>
      <c r="G72" s="115">
        <v>2</v>
      </c>
      <c r="H72" s="115">
        <v>3</v>
      </c>
      <c r="I72" s="101">
        <v>1053.2</v>
      </c>
      <c r="J72" s="101">
        <v>928.3</v>
      </c>
      <c r="K72" s="101">
        <v>866</v>
      </c>
      <c r="L72" s="117">
        <v>38</v>
      </c>
      <c r="M72" s="115" t="s">
        <v>272</v>
      </c>
      <c r="N72" s="118" t="s">
        <v>274</v>
      </c>
      <c r="O72" s="101">
        <v>11476.890000000001</v>
      </c>
      <c r="P72" s="101">
        <f t="shared" si="1"/>
        <v>10.897161033042158</v>
      </c>
      <c r="Q72" s="101">
        <v>5198.0790353209268</v>
      </c>
    </row>
    <row r="73" spans="1:17" ht="35.25" x14ac:dyDescent="0.5">
      <c r="A73" s="6">
        <v>1</v>
      </c>
      <c r="B73" s="91">
        <f>SUBTOTAL(103,$A$65:A73)</f>
        <v>8</v>
      </c>
      <c r="C73" s="119" t="s">
        <v>1455</v>
      </c>
      <c r="D73" s="115">
        <v>1980</v>
      </c>
      <c r="E73" s="115"/>
      <c r="F73" s="116" t="s">
        <v>273</v>
      </c>
      <c r="G73" s="115">
        <v>2</v>
      </c>
      <c r="H73" s="115">
        <v>3</v>
      </c>
      <c r="I73" s="101">
        <v>941.7</v>
      </c>
      <c r="J73" s="101">
        <v>856.9</v>
      </c>
      <c r="K73" s="101">
        <v>856.9</v>
      </c>
      <c r="L73" s="117">
        <v>53</v>
      </c>
      <c r="M73" s="115" t="s">
        <v>272</v>
      </c>
      <c r="N73" s="118" t="s">
        <v>274</v>
      </c>
      <c r="O73" s="101">
        <v>25269.399999999998</v>
      </c>
      <c r="P73" s="101">
        <f t="shared" si="1"/>
        <v>26.833811192524156</v>
      </c>
      <c r="Q73" s="101">
        <v>4693.620962089838</v>
      </c>
    </row>
    <row r="74" spans="1:17" ht="35.25" x14ac:dyDescent="0.5">
      <c r="B74" s="114" t="s">
        <v>1072</v>
      </c>
      <c r="C74" s="119"/>
      <c r="D74" s="115" t="s">
        <v>776</v>
      </c>
      <c r="E74" s="115" t="s">
        <v>776</v>
      </c>
      <c r="F74" s="116" t="s">
        <v>776</v>
      </c>
      <c r="G74" s="115" t="s">
        <v>776</v>
      </c>
      <c r="H74" s="115" t="s">
        <v>776</v>
      </c>
      <c r="I74" s="101">
        <f>SUM(I75:I89)</f>
        <v>25020.739999999998</v>
      </c>
      <c r="J74" s="101">
        <f>SUM(J75:J89)</f>
        <v>21077.54</v>
      </c>
      <c r="K74" s="101">
        <f>SUM(K75:K89)</f>
        <v>19146.900000000001</v>
      </c>
      <c r="L74" s="117">
        <f>SUM(L75:L89)</f>
        <v>980</v>
      </c>
      <c r="M74" s="115" t="s">
        <v>915</v>
      </c>
      <c r="N74" s="115" t="s">
        <v>915</v>
      </c>
      <c r="O74" s="101">
        <v>1767174.4000000001</v>
      </c>
      <c r="P74" s="101">
        <f t="shared" si="1"/>
        <v>70.628382693717299</v>
      </c>
      <c r="Q74" s="101">
        <f>MAX(Q75:Q88)</f>
        <v>12178.230777005687</v>
      </c>
    </row>
    <row r="75" spans="1:17" ht="35.25" x14ac:dyDescent="0.5">
      <c r="A75" s="6">
        <v>1</v>
      </c>
      <c r="B75" s="91">
        <f>SUBTOTAL(103,$A$65:A75)</f>
        <v>9</v>
      </c>
      <c r="C75" s="119" t="s">
        <v>1456</v>
      </c>
      <c r="D75" s="115">
        <v>1966</v>
      </c>
      <c r="E75" s="115"/>
      <c r="F75" s="116" t="s">
        <v>273</v>
      </c>
      <c r="G75" s="115">
        <v>5</v>
      </c>
      <c r="H75" s="115">
        <v>4</v>
      </c>
      <c r="I75" s="101">
        <v>4070</v>
      </c>
      <c r="J75" s="101">
        <v>3151.1</v>
      </c>
      <c r="K75" s="101">
        <v>2925.4</v>
      </c>
      <c r="L75" s="117">
        <v>137</v>
      </c>
      <c r="M75" s="115" t="s">
        <v>275</v>
      </c>
      <c r="N75" s="118" t="s">
        <v>1550</v>
      </c>
      <c r="O75" s="101">
        <v>13062.04</v>
      </c>
      <c r="P75" s="101">
        <f t="shared" si="1"/>
        <v>3.2093464373464378</v>
      </c>
      <c r="Q75" s="101">
        <v>1630.4420638820638</v>
      </c>
    </row>
    <row r="76" spans="1:17" ht="35.25" x14ac:dyDescent="0.5">
      <c r="A76" s="6">
        <v>1</v>
      </c>
      <c r="B76" s="91">
        <f>SUBTOTAL(103,$A$65:A76)</f>
        <v>10</v>
      </c>
      <c r="C76" s="119" t="s">
        <v>1457</v>
      </c>
      <c r="D76" s="115">
        <v>1960</v>
      </c>
      <c r="E76" s="115">
        <v>2006</v>
      </c>
      <c r="F76" s="116" t="s">
        <v>273</v>
      </c>
      <c r="G76" s="115">
        <v>2</v>
      </c>
      <c r="H76" s="115">
        <v>3</v>
      </c>
      <c r="I76" s="101">
        <v>1011.9</v>
      </c>
      <c r="J76" s="101">
        <v>804.7</v>
      </c>
      <c r="K76" s="101">
        <v>655.4</v>
      </c>
      <c r="L76" s="117">
        <v>42</v>
      </c>
      <c r="M76" s="115" t="s">
        <v>275</v>
      </c>
      <c r="N76" s="118" t="s">
        <v>1551</v>
      </c>
      <c r="O76" s="101">
        <v>173871.57</v>
      </c>
      <c r="P76" s="101">
        <f t="shared" si="1"/>
        <v>171.8268307144975</v>
      </c>
      <c r="Q76" s="101">
        <v>4263.3120557367329</v>
      </c>
    </row>
    <row r="77" spans="1:17" ht="35.25" x14ac:dyDescent="0.5">
      <c r="A77" s="6">
        <v>1</v>
      </c>
      <c r="B77" s="91">
        <f>SUBTOTAL(103,$A$65:A77)</f>
        <v>11</v>
      </c>
      <c r="C77" s="119" t="s">
        <v>1458</v>
      </c>
      <c r="D77" s="115">
        <v>1951</v>
      </c>
      <c r="E77" s="115"/>
      <c r="F77" s="116" t="s">
        <v>273</v>
      </c>
      <c r="G77" s="115">
        <v>2</v>
      </c>
      <c r="H77" s="115">
        <v>2</v>
      </c>
      <c r="I77" s="101">
        <v>695</v>
      </c>
      <c r="J77" s="101">
        <v>626.9</v>
      </c>
      <c r="K77" s="101">
        <v>626.9</v>
      </c>
      <c r="L77" s="117">
        <v>33</v>
      </c>
      <c r="M77" s="115" t="s">
        <v>275</v>
      </c>
      <c r="N77" s="118" t="s">
        <v>1015</v>
      </c>
      <c r="O77" s="101">
        <v>82406.94</v>
      </c>
      <c r="P77" s="101">
        <f t="shared" si="1"/>
        <v>118.57113669064749</v>
      </c>
      <c r="Q77" s="101">
        <v>6436.4130215827336</v>
      </c>
    </row>
    <row r="78" spans="1:17" ht="35.25" x14ac:dyDescent="0.5">
      <c r="A78" s="6">
        <v>1</v>
      </c>
      <c r="B78" s="91">
        <f>SUBTOTAL(103,$A$65:A78)</f>
        <v>12</v>
      </c>
      <c r="C78" s="119" t="s">
        <v>1459</v>
      </c>
      <c r="D78" s="115">
        <v>1953</v>
      </c>
      <c r="E78" s="115">
        <v>2006</v>
      </c>
      <c r="F78" s="116" t="s">
        <v>273</v>
      </c>
      <c r="G78" s="115">
        <v>2</v>
      </c>
      <c r="H78" s="115">
        <v>1</v>
      </c>
      <c r="I78" s="101">
        <v>537.54</v>
      </c>
      <c r="J78" s="101">
        <v>501.3</v>
      </c>
      <c r="K78" s="101">
        <v>310.2</v>
      </c>
      <c r="L78" s="117">
        <v>37</v>
      </c>
      <c r="M78" s="115" t="s">
        <v>275</v>
      </c>
      <c r="N78" s="118" t="s">
        <v>1549</v>
      </c>
      <c r="O78" s="101">
        <v>48720</v>
      </c>
      <c r="P78" s="101">
        <f t="shared" si="1"/>
        <v>90.635115526286427</v>
      </c>
      <c r="Q78" s="101">
        <v>5478.0672508092421</v>
      </c>
    </row>
    <row r="79" spans="1:17" ht="35.25" x14ac:dyDescent="0.5">
      <c r="A79" s="6">
        <v>1</v>
      </c>
      <c r="B79" s="91">
        <f>SUBTOTAL(103,$A$65:A79)</f>
        <v>13</v>
      </c>
      <c r="C79" s="119" t="s">
        <v>1460</v>
      </c>
      <c r="D79" s="115">
        <v>1958</v>
      </c>
      <c r="E79" s="115">
        <v>2007</v>
      </c>
      <c r="F79" s="116" t="s">
        <v>273</v>
      </c>
      <c r="G79" s="115">
        <v>2</v>
      </c>
      <c r="H79" s="115">
        <v>2</v>
      </c>
      <c r="I79" s="101">
        <v>854.8</v>
      </c>
      <c r="J79" s="101">
        <v>789.8</v>
      </c>
      <c r="K79" s="101">
        <v>434.07</v>
      </c>
      <c r="L79" s="117">
        <v>42</v>
      </c>
      <c r="M79" s="115" t="s">
        <v>275</v>
      </c>
      <c r="N79" s="118" t="s">
        <v>1551</v>
      </c>
      <c r="O79" s="101">
        <v>27496.35</v>
      </c>
      <c r="P79" s="101">
        <f t="shared" si="1"/>
        <v>32.166998128217124</v>
      </c>
      <c r="Q79" s="101">
        <v>4408.3326626111375</v>
      </c>
    </row>
    <row r="80" spans="1:17" ht="35.25" x14ac:dyDescent="0.5">
      <c r="A80" s="6">
        <v>1</v>
      </c>
      <c r="B80" s="91">
        <f>SUBTOTAL(103,$A$65:A80)</f>
        <v>14</v>
      </c>
      <c r="C80" s="119" t="s">
        <v>1461</v>
      </c>
      <c r="D80" s="115">
        <v>1940</v>
      </c>
      <c r="E80" s="115"/>
      <c r="F80" s="116" t="s">
        <v>273</v>
      </c>
      <c r="G80" s="115">
        <v>3</v>
      </c>
      <c r="H80" s="115">
        <v>2</v>
      </c>
      <c r="I80" s="101">
        <v>1189.4000000000001</v>
      </c>
      <c r="J80" s="101">
        <v>1119.5999999999999</v>
      </c>
      <c r="K80" s="101">
        <v>1021.2</v>
      </c>
      <c r="L80" s="117">
        <v>46</v>
      </c>
      <c r="M80" s="115" t="s">
        <v>275</v>
      </c>
      <c r="N80" s="118" t="s">
        <v>357</v>
      </c>
      <c r="O80" s="101">
        <v>381944.5</v>
      </c>
      <c r="P80" s="101">
        <f t="shared" si="1"/>
        <v>321.12367580292585</v>
      </c>
      <c r="Q80" s="101">
        <v>3213.0208088111649</v>
      </c>
    </row>
    <row r="81" spans="1:17" ht="35.25" x14ac:dyDescent="0.5">
      <c r="A81" s="6">
        <v>1</v>
      </c>
      <c r="B81" s="91">
        <f>SUBTOTAL(103,$A$65:A81)</f>
        <v>15</v>
      </c>
      <c r="C81" s="119" t="s">
        <v>1462</v>
      </c>
      <c r="D81" s="115">
        <v>1961</v>
      </c>
      <c r="E81" s="115"/>
      <c r="F81" s="116" t="s">
        <v>273</v>
      </c>
      <c r="G81" s="115">
        <v>4</v>
      </c>
      <c r="H81" s="115">
        <v>3</v>
      </c>
      <c r="I81" s="101">
        <v>2136.1</v>
      </c>
      <c r="J81" s="101">
        <v>1990.2</v>
      </c>
      <c r="K81" s="101">
        <v>1946.2</v>
      </c>
      <c r="L81" s="117">
        <v>89</v>
      </c>
      <c r="M81" s="115" t="s">
        <v>275</v>
      </c>
      <c r="N81" s="118" t="s">
        <v>1015</v>
      </c>
      <c r="O81" s="101">
        <v>16240</v>
      </c>
      <c r="P81" s="101">
        <f t="shared" si="1"/>
        <v>7.6026403258274424</v>
      </c>
      <c r="Q81" s="101">
        <v>1918.8764510556621</v>
      </c>
    </row>
    <row r="82" spans="1:17" ht="35.25" x14ac:dyDescent="0.5">
      <c r="A82" s="6">
        <v>1</v>
      </c>
      <c r="B82" s="91">
        <f>SUBTOTAL(103,$A$65:A82)</f>
        <v>16</v>
      </c>
      <c r="C82" s="119" t="s">
        <v>1463</v>
      </c>
      <c r="D82" s="115">
        <v>1935</v>
      </c>
      <c r="E82" s="115"/>
      <c r="F82" s="116" t="s">
        <v>273</v>
      </c>
      <c r="G82" s="115">
        <v>2</v>
      </c>
      <c r="H82" s="115">
        <v>2</v>
      </c>
      <c r="I82" s="101">
        <v>474.9</v>
      </c>
      <c r="J82" s="101">
        <v>427.5</v>
      </c>
      <c r="K82" s="101">
        <v>427.5</v>
      </c>
      <c r="L82" s="117">
        <v>15</v>
      </c>
      <c r="M82" s="115" t="s">
        <v>275</v>
      </c>
      <c r="N82" s="118" t="s">
        <v>357</v>
      </c>
      <c r="O82" s="101">
        <v>433416.75</v>
      </c>
      <c r="P82" s="101">
        <f t="shared" si="1"/>
        <v>912.64845230574861</v>
      </c>
      <c r="Q82" s="101">
        <v>12178.230777005687</v>
      </c>
    </row>
    <row r="83" spans="1:17" ht="35.25" x14ac:dyDescent="0.5">
      <c r="A83" s="6">
        <v>1</v>
      </c>
      <c r="B83" s="91">
        <f>SUBTOTAL(103,$A$65:A83)</f>
        <v>17</v>
      </c>
      <c r="C83" s="119" t="s">
        <v>1147</v>
      </c>
      <c r="D83" s="115">
        <v>1991</v>
      </c>
      <c r="E83" s="115">
        <v>2010</v>
      </c>
      <c r="F83" s="116" t="s">
        <v>1348</v>
      </c>
      <c r="G83" s="115">
        <v>13</v>
      </c>
      <c r="H83" s="115">
        <v>1</v>
      </c>
      <c r="I83" s="101">
        <v>4135.3</v>
      </c>
      <c r="J83" s="101">
        <v>3928.9</v>
      </c>
      <c r="K83" s="101">
        <v>3680.79</v>
      </c>
      <c r="L83" s="117">
        <v>225</v>
      </c>
      <c r="M83" s="118" t="s">
        <v>275</v>
      </c>
      <c r="N83" s="120" t="s">
        <v>356</v>
      </c>
      <c r="O83" s="101">
        <v>148190</v>
      </c>
      <c r="P83" s="101">
        <f t="shared" si="1"/>
        <v>35.835368655236621</v>
      </c>
      <c r="Q83" s="101">
        <v>578.83675670447121</v>
      </c>
    </row>
    <row r="84" spans="1:17" ht="35.25" x14ac:dyDescent="0.5">
      <c r="A84" s="6">
        <v>1</v>
      </c>
      <c r="B84" s="91">
        <f>SUBTOTAL(103,$A$65:A84)</f>
        <v>18</v>
      </c>
      <c r="C84" s="119" t="s">
        <v>1464</v>
      </c>
      <c r="D84" s="115">
        <v>1959</v>
      </c>
      <c r="E84" s="115"/>
      <c r="F84" s="116" t="s">
        <v>273</v>
      </c>
      <c r="G84" s="115">
        <v>4</v>
      </c>
      <c r="H84" s="115">
        <v>3</v>
      </c>
      <c r="I84" s="101">
        <v>3123</v>
      </c>
      <c r="J84" s="101">
        <v>2505.0300000000002</v>
      </c>
      <c r="K84" s="101">
        <v>2369.63</v>
      </c>
      <c r="L84" s="117">
        <v>89</v>
      </c>
      <c r="M84" s="120" t="s">
        <v>275</v>
      </c>
      <c r="N84" s="120" t="s">
        <v>1347</v>
      </c>
      <c r="O84" s="101">
        <v>17378.54</v>
      </c>
      <c r="P84" s="101">
        <f t="shared" si="1"/>
        <v>5.5646942042907463</v>
      </c>
      <c r="Q84" s="101">
        <v>2193.1463208453411</v>
      </c>
    </row>
    <row r="85" spans="1:17" ht="35.25" x14ac:dyDescent="0.5">
      <c r="A85" s="6">
        <v>1</v>
      </c>
      <c r="B85" s="91">
        <f>SUBTOTAL(103,$A$65:A85)</f>
        <v>19</v>
      </c>
      <c r="C85" s="119" t="s">
        <v>1535</v>
      </c>
      <c r="D85" s="115">
        <v>1953</v>
      </c>
      <c r="E85" s="115">
        <v>2008</v>
      </c>
      <c r="F85" s="116" t="s">
        <v>273</v>
      </c>
      <c r="G85" s="115">
        <v>2</v>
      </c>
      <c r="H85" s="115">
        <v>1</v>
      </c>
      <c r="I85" s="101">
        <v>520.79999999999995</v>
      </c>
      <c r="J85" s="101">
        <v>480.7</v>
      </c>
      <c r="K85" s="101">
        <v>406.6</v>
      </c>
      <c r="L85" s="117">
        <v>27</v>
      </c>
      <c r="M85" s="120" t="s">
        <v>275</v>
      </c>
      <c r="N85" s="120" t="s">
        <v>356</v>
      </c>
      <c r="O85" s="101">
        <v>130104.73</v>
      </c>
      <c r="P85" s="101">
        <f t="shared" si="1"/>
        <v>249.81706989247314</v>
      </c>
      <c r="Q85" s="101">
        <v>9010.5665360983112</v>
      </c>
    </row>
    <row r="86" spans="1:17" ht="35.25" x14ac:dyDescent="0.5">
      <c r="A86" s="6">
        <v>1</v>
      </c>
      <c r="B86" s="91">
        <f>SUBTOTAL(103,$A$65:A86)</f>
        <v>20</v>
      </c>
      <c r="C86" s="119" t="s">
        <v>1536</v>
      </c>
      <c r="D86" s="115">
        <v>1936</v>
      </c>
      <c r="E86" s="115">
        <v>2008</v>
      </c>
      <c r="F86" s="116" t="s">
        <v>273</v>
      </c>
      <c r="G86" s="115">
        <v>3</v>
      </c>
      <c r="H86" s="115">
        <v>4</v>
      </c>
      <c r="I86" s="101">
        <v>1637.8</v>
      </c>
      <c r="J86" s="101">
        <v>1246.5999999999999</v>
      </c>
      <c r="K86" s="101">
        <v>1142.8</v>
      </c>
      <c r="L86" s="117">
        <v>53</v>
      </c>
      <c r="M86" s="120" t="s">
        <v>275</v>
      </c>
      <c r="N86" s="120" t="s">
        <v>357</v>
      </c>
      <c r="O86" s="101">
        <v>159880.76999999999</v>
      </c>
      <c r="P86" s="101">
        <f t="shared" si="1"/>
        <v>97.619227011845155</v>
      </c>
      <c r="Q86" s="101">
        <v>2252.4280823665895</v>
      </c>
    </row>
    <row r="87" spans="1:17" ht="35.25" x14ac:dyDescent="0.5">
      <c r="A87" s="6">
        <v>1</v>
      </c>
      <c r="B87" s="91">
        <f>SUBTOTAL(103,$A$65:A87)</f>
        <v>21</v>
      </c>
      <c r="C87" s="119" t="s">
        <v>1537</v>
      </c>
      <c r="D87" s="115">
        <v>1950</v>
      </c>
      <c r="E87" s="115"/>
      <c r="F87" s="116" t="s">
        <v>273</v>
      </c>
      <c r="G87" s="115">
        <v>2</v>
      </c>
      <c r="H87" s="115">
        <v>1</v>
      </c>
      <c r="I87" s="101">
        <v>459.9</v>
      </c>
      <c r="J87" s="101">
        <v>417.6</v>
      </c>
      <c r="K87" s="101">
        <v>417.6</v>
      </c>
      <c r="L87" s="117">
        <v>24</v>
      </c>
      <c r="M87" s="120" t="s">
        <v>275</v>
      </c>
      <c r="N87" s="120" t="s">
        <v>1015</v>
      </c>
      <c r="O87" s="101">
        <v>9498.3700000000008</v>
      </c>
      <c r="P87" s="101">
        <f t="shared" si="1"/>
        <v>20.653120243531205</v>
      </c>
      <c r="Q87" s="101">
        <v>7085.6718851924334</v>
      </c>
    </row>
    <row r="88" spans="1:17" ht="35.25" x14ac:dyDescent="0.5">
      <c r="A88" s="6">
        <v>1</v>
      </c>
      <c r="B88" s="91">
        <f>SUBTOTAL(103,$A$65:A88)</f>
        <v>22</v>
      </c>
      <c r="C88" s="119" t="s">
        <v>1538</v>
      </c>
      <c r="D88" s="115">
        <v>1961</v>
      </c>
      <c r="E88" s="115"/>
      <c r="F88" s="116" t="s">
        <v>273</v>
      </c>
      <c r="G88" s="115">
        <v>4</v>
      </c>
      <c r="H88" s="115">
        <v>2</v>
      </c>
      <c r="I88" s="101">
        <v>2794.3</v>
      </c>
      <c r="J88" s="101">
        <v>1973.11</v>
      </c>
      <c r="K88" s="101">
        <v>1887.11</v>
      </c>
      <c r="L88" s="117">
        <v>86</v>
      </c>
      <c r="M88" s="120" t="s">
        <v>275</v>
      </c>
      <c r="N88" s="120" t="s">
        <v>1611</v>
      </c>
      <c r="O88" s="101">
        <v>61000.49</v>
      </c>
      <c r="P88" s="101">
        <f t="shared" si="1"/>
        <v>21.830329599541923</v>
      </c>
      <c r="Q88" s="101">
        <v>1711.1270693912606</v>
      </c>
    </row>
    <row r="89" spans="1:17" ht="35.25" x14ac:dyDescent="0.5">
      <c r="A89" s="6">
        <v>1</v>
      </c>
      <c r="B89" s="91">
        <f>SUBTOTAL(103,$A$65:A89)</f>
        <v>23</v>
      </c>
      <c r="C89" s="119" t="s">
        <v>1647</v>
      </c>
      <c r="D89" s="115">
        <v>1952</v>
      </c>
      <c r="E89" s="115"/>
      <c r="F89" s="116" t="s">
        <v>344</v>
      </c>
      <c r="G89" s="115">
        <v>2</v>
      </c>
      <c r="H89" s="115">
        <v>3</v>
      </c>
      <c r="I89" s="101">
        <v>1380</v>
      </c>
      <c r="J89" s="101">
        <v>1114.5</v>
      </c>
      <c r="K89" s="101">
        <v>895.5</v>
      </c>
      <c r="L89" s="117">
        <v>35</v>
      </c>
      <c r="M89" s="120" t="s">
        <v>275</v>
      </c>
      <c r="N89" s="120" t="s">
        <v>1646</v>
      </c>
      <c r="O89" s="101">
        <v>63963.35</v>
      </c>
      <c r="P89" s="101">
        <f t="shared" si="1"/>
        <v>46.350253623188408</v>
      </c>
      <c r="Q89" s="101">
        <v>4546.7244130434783</v>
      </c>
    </row>
    <row r="90" spans="1:17" ht="35.25" x14ac:dyDescent="0.5">
      <c r="B90" s="114" t="s">
        <v>848</v>
      </c>
      <c r="C90" s="119"/>
      <c r="D90" s="115" t="s">
        <v>776</v>
      </c>
      <c r="E90" s="115" t="s">
        <v>776</v>
      </c>
      <c r="F90" s="116" t="s">
        <v>776</v>
      </c>
      <c r="G90" s="115" t="s">
        <v>776</v>
      </c>
      <c r="H90" s="115" t="s">
        <v>776</v>
      </c>
      <c r="I90" s="101">
        <f>SUM(I91:I96)</f>
        <v>13339.4</v>
      </c>
      <c r="J90" s="101">
        <f>SUM(J91:J96)</f>
        <v>7930.2999999999993</v>
      </c>
      <c r="K90" s="101">
        <f>SUM(K91:K96)</f>
        <v>6561.3</v>
      </c>
      <c r="L90" s="117">
        <f>SUM(L91:L96)</f>
        <v>416</v>
      </c>
      <c r="M90" s="115" t="s">
        <v>915</v>
      </c>
      <c r="N90" s="115" t="s">
        <v>915</v>
      </c>
      <c r="O90" s="101">
        <v>7687526.0199999996</v>
      </c>
      <c r="P90" s="101">
        <f t="shared" si="1"/>
        <v>576.30223398353746</v>
      </c>
      <c r="Q90" s="101">
        <f>MAX(Q91:Q96)</f>
        <v>5592.6911042311667</v>
      </c>
    </row>
    <row r="91" spans="1:17" ht="35.25" x14ac:dyDescent="0.5">
      <c r="A91" s="6">
        <v>1</v>
      </c>
      <c r="B91" s="91">
        <f>SUBTOTAL(103,$A$65:A91)</f>
        <v>24</v>
      </c>
      <c r="C91" s="119" t="s">
        <v>1465</v>
      </c>
      <c r="D91" s="115">
        <v>1992</v>
      </c>
      <c r="E91" s="115"/>
      <c r="F91" s="116" t="s">
        <v>273</v>
      </c>
      <c r="G91" s="115">
        <v>3</v>
      </c>
      <c r="H91" s="115">
        <v>3</v>
      </c>
      <c r="I91" s="101">
        <v>3997</v>
      </c>
      <c r="J91" s="101">
        <v>1901.1</v>
      </c>
      <c r="K91" s="101">
        <v>1791.5</v>
      </c>
      <c r="L91" s="117">
        <v>73</v>
      </c>
      <c r="M91" s="115" t="s">
        <v>275</v>
      </c>
      <c r="N91" s="118" t="s">
        <v>1552</v>
      </c>
      <c r="O91" s="101">
        <v>5491611.8300000001</v>
      </c>
      <c r="P91" s="101">
        <f t="shared" si="1"/>
        <v>1373.9334075556667</v>
      </c>
      <c r="Q91" s="101">
        <v>1701.7254640980734</v>
      </c>
    </row>
    <row r="92" spans="1:17" ht="35.25" x14ac:dyDescent="0.5">
      <c r="A92" s="6">
        <v>1</v>
      </c>
      <c r="B92" s="91">
        <f>SUBTOTAL(103,$A$65:A92)</f>
        <v>25</v>
      </c>
      <c r="C92" s="119" t="s">
        <v>1466</v>
      </c>
      <c r="D92" s="115">
        <v>1983</v>
      </c>
      <c r="E92" s="115"/>
      <c r="F92" s="116" t="s">
        <v>319</v>
      </c>
      <c r="G92" s="115">
        <v>5</v>
      </c>
      <c r="H92" s="115">
        <v>4</v>
      </c>
      <c r="I92" s="101">
        <v>4357</v>
      </c>
      <c r="J92" s="101">
        <v>1821.4</v>
      </c>
      <c r="K92" s="101">
        <v>1678.3</v>
      </c>
      <c r="L92" s="117">
        <v>159</v>
      </c>
      <c r="M92" s="115" t="s">
        <v>275</v>
      </c>
      <c r="N92" s="118" t="s">
        <v>1552</v>
      </c>
      <c r="O92" s="101">
        <v>1854405</v>
      </c>
      <c r="P92" s="101">
        <f t="shared" si="1"/>
        <v>425.61510213449623</v>
      </c>
      <c r="Q92" s="101">
        <v>1104.8862462703696</v>
      </c>
    </row>
    <row r="93" spans="1:17" ht="35.25" x14ac:dyDescent="0.5">
      <c r="A93" s="6">
        <v>1</v>
      </c>
      <c r="B93" s="91">
        <f>SUBTOTAL(103,$A$65:A93)</f>
        <v>26</v>
      </c>
      <c r="C93" s="119" t="s">
        <v>1467</v>
      </c>
      <c r="D93" s="115">
        <v>1940</v>
      </c>
      <c r="E93" s="115"/>
      <c r="F93" s="116" t="s">
        <v>273</v>
      </c>
      <c r="G93" s="115">
        <v>3</v>
      </c>
      <c r="H93" s="115">
        <v>3</v>
      </c>
      <c r="I93" s="101">
        <v>2021</v>
      </c>
      <c r="J93" s="101">
        <v>1886.9</v>
      </c>
      <c r="K93" s="101">
        <v>1320.5</v>
      </c>
      <c r="L93" s="117">
        <v>47</v>
      </c>
      <c r="M93" s="115" t="s">
        <v>275</v>
      </c>
      <c r="N93" s="118" t="s">
        <v>1553</v>
      </c>
      <c r="O93" s="101">
        <v>58266.54</v>
      </c>
      <c r="P93" s="101">
        <f t="shared" si="1"/>
        <v>28.830549233052945</v>
      </c>
      <c r="Q93" s="101">
        <v>3636.9155614052447</v>
      </c>
    </row>
    <row r="94" spans="1:17" ht="35.25" x14ac:dyDescent="0.5">
      <c r="A94" s="6">
        <v>1</v>
      </c>
      <c r="B94" s="91">
        <f>SUBTOTAL(103,$A$65:A94)</f>
        <v>27</v>
      </c>
      <c r="C94" s="119" t="s">
        <v>1468</v>
      </c>
      <c r="D94" s="115">
        <v>1994</v>
      </c>
      <c r="E94" s="115"/>
      <c r="F94" s="116" t="s">
        <v>273</v>
      </c>
      <c r="G94" s="115">
        <v>3</v>
      </c>
      <c r="H94" s="115">
        <v>3</v>
      </c>
      <c r="I94" s="101">
        <v>1540.3</v>
      </c>
      <c r="J94" s="101">
        <v>1362.4</v>
      </c>
      <c r="K94" s="101">
        <v>1247.3</v>
      </c>
      <c r="L94" s="117">
        <v>65</v>
      </c>
      <c r="M94" s="115" t="s">
        <v>272</v>
      </c>
      <c r="N94" s="118" t="s">
        <v>274</v>
      </c>
      <c r="O94" s="101">
        <v>166460</v>
      </c>
      <c r="P94" s="101">
        <f t="shared" si="1"/>
        <v>108.06985652145686</v>
      </c>
      <c r="Q94" s="101">
        <v>3223.4464584821139</v>
      </c>
    </row>
    <row r="95" spans="1:17" ht="35.25" x14ac:dyDescent="0.5">
      <c r="A95" s="6">
        <v>1</v>
      </c>
      <c r="B95" s="91">
        <f>SUBTOTAL(103,$A$65:A95)</f>
        <v>28</v>
      </c>
      <c r="C95" s="119" t="s">
        <v>1469</v>
      </c>
      <c r="D95" s="115">
        <v>1955</v>
      </c>
      <c r="E95" s="115"/>
      <c r="F95" s="116" t="s">
        <v>273</v>
      </c>
      <c r="G95" s="115">
        <v>2</v>
      </c>
      <c r="H95" s="115">
        <v>2</v>
      </c>
      <c r="I95" s="101">
        <v>872.1</v>
      </c>
      <c r="J95" s="101">
        <v>557</v>
      </c>
      <c r="K95" s="101">
        <v>255.4</v>
      </c>
      <c r="L95" s="117">
        <v>40</v>
      </c>
      <c r="M95" s="115" t="s">
        <v>275</v>
      </c>
      <c r="N95" s="118" t="s">
        <v>1553</v>
      </c>
      <c r="O95" s="101">
        <v>113945.93</v>
      </c>
      <c r="P95" s="101">
        <f t="shared" si="1"/>
        <v>130.6569544776975</v>
      </c>
      <c r="Q95" s="101">
        <v>5592.6911042311667</v>
      </c>
    </row>
    <row r="96" spans="1:17" ht="35.25" x14ac:dyDescent="0.5">
      <c r="A96" s="6">
        <v>1</v>
      </c>
      <c r="B96" s="91">
        <f>SUBTOTAL(103,$A$65:A96)</f>
        <v>29</v>
      </c>
      <c r="C96" s="119" t="s">
        <v>1470</v>
      </c>
      <c r="D96" s="115">
        <v>1928</v>
      </c>
      <c r="E96" s="115"/>
      <c r="F96" s="116" t="s">
        <v>273</v>
      </c>
      <c r="G96" s="115">
        <v>2</v>
      </c>
      <c r="H96" s="115">
        <v>2</v>
      </c>
      <c r="I96" s="101">
        <v>552</v>
      </c>
      <c r="J96" s="101">
        <v>401.5</v>
      </c>
      <c r="K96" s="101">
        <v>268.3</v>
      </c>
      <c r="L96" s="117">
        <v>32</v>
      </c>
      <c r="M96" s="115" t="s">
        <v>272</v>
      </c>
      <c r="N96" s="118" t="s">
        <v>274</v>
      </c>
      <c r="O96" s="101">
        <v>2836.7200000000003</v>
      </c>
      <c r="P96" s="101">
        <f t="shared" si="1"/>
        <v>5.1389855072463773</v>
      </c>
      <c r="Q96" s="101">
        <v>5066.2273913043482</v>
      </c>
    </row>
    <row r="97" spans="1:17" ht="35.25" x14ac:dyDescent="0.5">
      <c r="B97" s="114" t="s">
        <v>847</v>
      </c>
      <c r="C97" s="119"/>
      <c r="D97" s="115" t="s">
        <v>776</v>
      </c>
      <c r="E97" s="115" t="s">
        <v>776</v>
      </c>
      <c r="F97" s="116" t="s">
        <v>776</v>
      </c>
      <c r="G97" s="115" t="s">
        <v>776</v>
      </c>
      <c r="H97" s="115" t="s">
        <v>776</v>
      </c>
      <c r="I97" s="101">
        <f>SUM(I98:I101)</f>
        <v>3874.7000000000003</v>
      </c>
      <c r="J97" s="101">
        <f>SUM(J98:J101)</f>
        <v>2543</v>
      </c>
      <c r="K97" s="101">
        <f>SUM(K98:K101)</f>
        <v>1614</v>
      </c>
      <c r="L97" s="117">
        <f>SUM(L98:L101)</f>
        <v>141</v>
      </c>
      <c r="M97" s="115" t="s">
        <v>915</v>
      </c>
      <c r="N97" s="115" t="s">
        <v>915</v>
      </c>
      <c r="O97" s="101">
        <v>3993831.15</v>
      </c>
      <c r="P97" s="101">
        <f t="shared" si="1"/>
        <v>1030.7459029086122</v>
      </c>
      <c r="Q97" s="101">
        <f>MAX(Q98:Q101)</f>
        <v>4264.9136637931033</v>
      </c>
    </row>
    <row r="98" spans="1:17" ht="35.25" x14ac:dyDescent="0.5">
      <c r="A98" s="6">
        <v>1</v>
      </c>
      <c r="B98" s="91">
        <f>SUBTOTAL(103,$A$65:A98)</f>
        <v>30</v>
      </c>
      <c r="C98" s="119" t="s">
        <v>1471</v>
      </c>
      <c r="D98" s="115">
        <v>1965</v>
      </c>
      <c r="E98" s="115"/>
      <c r="F98" s="116" t="s">
        <v>273</v>
      </c>
      <c r="G98" s="115">
        <v>2</v>
      </c>
      <c r="H98" s="115">
        <v>2</v>
      </c>
      <c r="I98" s="101">
        <v>772.6</v>
      </c>
      <c r="J98" s="101">
        <v>450.9</v>
      </c>
      <c r="K98" s="101">
        <v>299.5</v>
      </c>
      <c r="L98" s="117">
        <v>27</v>
      </c>
      <c r="M98" s="115" t="s">
        <v>272</v>
      </c>
      <c r="N98" s="115" t="s">
        <v>274</v>
      </c>
      <c r="O98" s="101">
        <v>58593.41</v>
      </c>
      <c r="P98" s="101">
        <f t="shared" si="1"/>
        <v>75.83925705410303</v>
      </c>
      <c r="Q98" s="101">
        <v>3159.5429976702044</v>
      </c>
    </row>
    <row r="99" spans="1:17" ht="35.25" x14ac:dyDescent="0.5">
      <c r="A99" s="6">
        <v>1</v>
      </c>
      <c r="B99" s="91">
        <f>SUBTOTAL(103,$A$65:A99)</f>
        <v>31</v>
      </c>
      <c r="C99" s="119" t="s">
        <v>1472</v>
      </c>
      <c r="D99" s="115">
        <v>1942</v>
      </c>
      <c r="E99" s="115"/>
      <c r="F99" s="116" t="s">
        <v>338</v>
      </c>
      <c r="G99" s="115">
        <v>2</v>
      </c>
      <c r="H99" s="115">
        <v>2</v>
      </c>
      <c r="I99" s="101">
        <v>842.2</v>
      </c>
      <c r="J99" s="101">
        <v>492.3</v>
      </c>
      <c r="K99" s="101">
        <v>352</v>
      </c>
      <c r="L99" s="117">
        <v>33</v>
      </c>
      <c r="M99" s="115" t="s">
        <v>272</v>
      </c>
      <c r="N99" s="115" t="s">
        <v>274</v>
      </c>
      <c r="O99" s="101">
        <v>15225</v>
      </c>
      <c r="P99" s="101">
        <f t="shared" si="1"/>
        <v>18.077653763951556</v>
      </c>
      <c r="Q99" s="101">
        <v>3573.799905010686</v>
      </c>
    </row>
    <row r="100" spans="1:17" ht="35.25" x14ac:dyDescent="0.5">
      <c r="A100" s="6">
        <v>1</v>
      </c>
      <c r="B100" s="91">
        <f>SUBTOTAL(103,$A$65:A100)</f>
        <v>32</v>
      </c>
      <c r="C100" s="119" t="s">
        <v>1473</v>
      </c>
      <c r="D100" s="115">
        <v>1933</v>
      </c>
      <c r="E100" s="115"/>
      <c r="F100" s="116" t="s">
        <v>273</v>
      </c>
      <c r="G100" s="115">
        <v>3</v>
      </c>
      <c r="H100" s="115">
        <v>3</v>
      </c>
      <c r="I100" s="101">
        <v>1795.9</v>
      </c>
      <c r="J100" s="101">
        <v>1183</v>
      </c>
      <c r="K100" s="101">
        <v>857.7</v>
      </c>
      <c r="L100" s="117">
        <v>48</v>
      </c>
      <c r="M100" s="115" t="s">
        <v>272</v>
      </c>
      <c r="N100" s="115" t="s">
        <v>274</v>
      </c>
      <c r="O100" s="101">
        <v>3869092.71</v>
      </c>
      <c r="P100" s="101">
        <f t="shared" si="1"/>
        <v>2154.4032017372901</v>
      </c>
      <c r="Q100" s="101">
        <v>2408.3658889693188</v>
      </c>
    </row>
    <row r="101" spans="1:17" ht="35.25" x14ac:dyDescent="0.5">
      <c r="A101" s="6">
        <v>1</v>
      </c>
      <c r="B101" s="91">
        <f>SUBTOTAL(103,$A$65:A101)</f>
        <v>33</v>
      </c>
      <c r="C101" s="119" t="s">
        <v>1474</v>
      </c>
      <c r="D101" s="115">
        <v>1934</v>
      </c>
      <c r="E101" s="115"/>
      <c r="F101" s="116" t="s">
        <v>338</v>
      </c>
      <c r="G101" s="115">
        <v>2</v>
      </c>
      <c r="H101" s="115">
        <v>2</v>
      </c>
      <c r="I101" s="101">
        <v>464</v>
      </c>
      <c r="J101" s="101">
        <v>416.8</v>
      </c>
      <c r="K101" s="101">
        <v>104.80000000000001</v>
      </c>
      <c r="L101" s="117">
        <v>33</v>
      </c>
      <c r="M101" s="115" t="s">
        <v>272</v>
      </c>
      <c r="N101" s="115" t="s">
        <v>274</v>
      </c>
      <c r="O101" s="101">
        <v>50920.03</v>
      </c>
      <c r="P101" s="101">
        <f t="shared" si="1"/>
        <v>109.74144396551723</v>
      </c>
      <c r="Q101" s="101">
        <v>4264.9136637931033</v>
      </c>
    </row>
    <row r="102" spans="1:17" ht="35.25" x14ac:dyDescent="0.5">
      <c r="B102" s="114" t="s">
        <v>785</v>
      </c>
      <c r="C102" s="119"/>
      <c r="D102" s="115" t="s">
        <v>776</v>
      </c>
      <c r="E102" s="115" t="s">
        <v>776</v>
      </c>
      <c r="F102" s="116" t="s">
        <v>776</v>
      </c>
      <c r="G102" s="115" t="s">
        <v>776</v>
      </c>
      <c r="H102" s="115" t="s">
        <v>776</v>
      </c>
      <c r="I102" s="101">
        <f>SUM(I103:I128)</f>
        <v>60449.319999999992</v>
      </c>
      <c r="J102" s="101">
        <f>SUM(J103:J128)</f>
        <v>50619.400000000009</v>
      </c>
      <c r="K102" s="101">
        <f>SUM(K103:K128)</f>
        <v>42603.26</v>
      </c>
      <c r="L102" s="117">
        <f>SUM(L103:L128)</f>
        <v>2015</v>
      </c>
      <c r="M102" s="115" t="s">
        <v>915</v>
      </c>
      <c r="N102" s="115" t="s">
        <v>915</v>
      </c>
      <c r="O102" s="101">
        <v>9209002.0300000031</v>
      </c>
      <c r="P102" s="101">
        <f t="shared" si="1"/>
        <v>152.34252477943514</v>
      </c>
      <c r="Q102" s="101">
        <f>MAX(Q103:Q128)</f>
        <v>6230.7922285159411</v>
      </c>
    </row>
    <row r="103" spans="1:17" ht="35.25" x14ac:dyDescent="0.5">
      <c r="A103" s="6">
        <v>1</v>
      </c>
      <c r="B103" s="91">
        <f>SUBTOTAL(103,$A$65:A103)</f>
        <v>34</v>
      </c>
      <c r="C103" s="119" t="s">
        <v>1475</v>
      </c>
      <c r="D103" s="115">
        <v>1962</v>
      </c>
      <c r="E103" s="115"/>
      <c r="F103" s="116" t="s">
        <v>273</v>
      </c>
      <c r="G103" s="115">
        <v>5</v>
      </c>
      <c r="H103" s="115">
        <v>2</v>
      </c>
      <c r="I103" s="101">
        <v>1612.2</v>
      </c>
      <c r="J103" s="101">
        <v>1358.8</v>
      </c>
      <c r="K103" s="101">
        <v>1358.8</v>
      </c>
      <c r="L103" s="117">
        <v>53</v>
      </c>
      <c r="M103" s="115" t="s">
        <v>275</v>
      </c>
      <c r="N103" s="115" t="s">
        <v>1554</v>
      </c>
      <c r="O103" s="101">
        <v>15597.11</v>
      </c>
      <c r="P103" s="101">
        <f t="shared" si="1"/>
        <v>9.6744262498449327</v>
      </c>
      <c r="Q103" s="101">
        <v>673.78</v>
      </c>
    </row>
    <row r="104" spans="1:17" ht="35.25" x14ac:dyDescent="0.5">
      <c r="A104" s="6">
        <v>1</v>
      </c>
      <c r="B104" s="91">
        <f>SUBTOTAL(103,$A$65:A104)</f>
        <v>35</v>
      </c>
      <c r="C104" s="119" t="s">
        <v>1476</v>
      </c>
      <c r="D104" s="115">
        <v>1958</v>
      </c>
      <c r="E104" s="115"/>
      <c r="F104" s="116" t="s">
        <v>273</v>
      </c>
      <c r="G104" s="115">
        <v>4</v>
      </c>
      <c r="H104" s="115">
        <v>4</v>
      </c>
      <c r="I104" s="101">
        <v>5485.5</v>
      </c>
      <c r="J104" s="101">
        <v>4412.8</v>
      </c>
      <c r="K104" s="101">
        <v>3382.7</v>
      </c>
      <c r="L104" s="117">
        <v>96</v>
      </c>
      <c r="M104" s="115" t="s">
        <v>275</v>
      </c>
      <c r="N104" s="118" t="s">
        <v>1383</v>
      </c>
      <c r="O104" s="101">
        <v>2283750</v>
      </c>
      <c r="P104" s="101">
        <f t="shared" si="1"/>
        <v>416.32485643970466</v>
      </c>
      <c r="Q104" s="101">
        <v>1728.1662564943942</v>
      </c>
    </row>
    <row r="105" spans="1:17" ht="35.25" x14ac:dyDescent="0.5">
      <c r="A105" s="6">
        <v>1</v>
      </c>
      <c r="B105" s="91">
        <f>SUBTOTAL(103,$A$65:A105)</f>
        <v>36</v>
      </c>
      <c r="C105" s="119" t="s">
        <v>1477</v>
      </c>
      <c r="D105" s="115">
        <v>1929</v>
      </c>
      <c r="E105" s="115"/>
      <c r="F105" s="116" t="s">
        <v>273</v>
      </c>
      <c r="G105" s="115">
        <v>4</v>
      </c>
      <c r="H105" s="115">
        <v>5</v>
      </c>
      <c r="I105" s="101">
        <v>2469.13</v>
      </c>
      <c r="J105" s="101">
        <v>2349.9299999999998</v>
      </c>
      <c r="K105" s="101">
        <v>2349.9299999999998</v>
      </c>
      <c r="L105" s="117">
        <v>95</v>
      </c>
      <c r="M105" s="115" t="s">
        <v>275</v>
      </c>
      <c r="N105" s="118" t="s">
        <v>1555</v>
      </c>
      <c r="O105" s="101">
        <v>510545</v>
      </c>
      <c r="P105" s="101">
        <f t="shared" si="1"/>
        <v>206.77121091234562</v>
      </c>
      <c r="Q105" s="101">
        <v>1979.3772546605485</v>
      </c>
    </row>
    <row r="106" spans="1:17" ht="35.25" x14ac:dyDescent="0.5">
      <c r="A106" s="6">
        <v>1</v>
      </c>
      <c r="B106" s="91">
        <f>SUBTOTAL(103,$A$65:A106)</f>
        <v>37</v>
      </c>
      <c r="C106" s="119" t="s">
        <v>1478</v>
      </c>
      <c r="D106" s="115">
        <v>1961</v>
      </c>
      <c r="E106" s="115"/>
      <c r="F106" s="116" t="s">
        <v>273</v>
      </c>
      <c r="G106" s="115">
        <v>4</v>
      </c>
      <c r="H106" s="115">
        <v>2</v>
      </c>
      <c r="I106" s="101">
        <v>1371.7</v>
      </c>
      <c r="J106" s="101">
        <v>1268.5999999999999</v>
      </c>
      <c r="K106" s="101">
        <v>1268.5999999999999</v>
      </c>
      <c r="L106" s="117">
        <v>55</v>
      </c>
      <c r="M106" s="115" t="s">
        <v>275</v>
      </c>
      <c r="N106" s="118" t="s">
        <v>1556</v>
      </c>
      <c r="O106" s="101">
        <v>468233.13</v>
      </c>
      <c r="P106" s="101">
        <f t="shared" si="1"/>
        <v>341.35243128964061</v>
      </c>
      <c r="Q106" s="101">
        <v>2062.941616971641</v>
      </c>
    </row>
    <row r="107" spans="1:17" ht="35.25" x14ac:dyDescent="0.5">
      <c r="A107" s="6">
        <v>1</v>
      </c>
      <c r="B107" s="91">
        <f>SUBTOTAL(103,$A$65:A107)</f>
        <v>38</v>
      </c>
      <c r="C107" s="119" t="s">
        <v>1479</v>
      </c>
      <c r="D107" s="115">
        <v>1959</v>
      </c>
      <c r="E107" s="115"/>
      <c r="F107" s="116" t="s">
        <v>273</v>
      </c>
      <c r="G107" s="115">
        <v>4</v>
      </c>
      <c r="H107" s="115">
        <v>3</v>
      </c>
      <c r="I107" s="101">
        <v>2155.1999999999998</v>
      </c>
      <c r="J107" s="101">
        <v>1435.2</v>
      </c>
      <c r="K107" s="101">
        <v>1184.7</v>
      </c>
      <c r="L107" s="117">
        <v>62</v>
      </c>
      <c r="M107" s="115" t="s">
        <v>275</v>
      </c>
      <c r="N107" s="118" t="s">
        <v>1557</v>
      </c>
      <c r="O107" s="101">
        <v>450205.28</v>
      </c>
      <c r="P107" s="101">
        <f t="shared" si="1"/>
        <v>208.89257609502602</v>
      </c>
      <c r="Q107" s="101">
        <v>3035.0318485523385</v>
      </c>
    </row>
    <row r="108" spans="1:17" ht="35.25" x14ac:dyDescent="0.5">
      <c r="A108" s="6">
        <v>1</v>
      </c>
      <c r="B108" s="91">
        <f>SUBTOTAL(103,$A$65:A108)</f>
        <v>39</v>
      </c>
      <c r="C108" s="119" t="s">
        <v>1480</v>
      </c>
      <c r="D108" s="115">
        <v>1951</v>
      </c>
      <c r="E108" s="115"/>
      <c r="F108" s="116" t="s">
        <v>344</v>
      </c>
      <c r="G108" s="115">
        <v>2</v>
      </c>
      <c r="H108" s="115">
        <v>2</v>
      </c>
      <c r="I108" s="101">
        <v>747</v>
      </c>
      <c r="J108" s="101">
        <v>596.29999999999995</v>
      </c>
      <c r="K108" s="101">
        <v>584.29999999999995</v>
      </c>
      <c r="L108" s="117">
        <v>22</v>
      </c>
      <c r="M108" s="115" t="s">
        <v>272</v>
      </c>
      <c r="N108" s="118" t="s">
        <v>274</v>
      </c>
      <c r="O108" s="101">
        <v>66602.679999999993</v>
      </c>
      <c r="P108" s="101">
        <f t="shared" si="1"/>
        <v>89.160214190093697</v>
      </c>
      <c r="Q108" s="101">
        <v>6146.9949799196784</v>
      </c>
    </row>
    <row r="109" spans="1:17" ht="35.25" x14ac:dyDescent="0.5">
      <c r="A109" s="6">
        <v>1</v>
      </c>
      <c r="B109" s="91">
        <f>SUBTOTAL(103,$A$65:A109)</f>
        <v>40</v>
      </c>
      <c r="C109" s="119" t="s">
        <v>1481</v>
      </c>
      <c r="D109" s="115">
        <v>1959</v>
      </c>
      <c r="E109" s="115"/>
      <c r="F109" s="116" t="s">
        <v>273</v>
      </c>
      <c r="G109" s="115">
        <v>4</v>
      </c>
      <c r="H109" s="115">
        <v>3</v>
      </c>
      <c r="I109" s="101">
        <v>3647.3</v>
      </c>
      <c r="J109" s="101">
        <v>2675.1</v>
      </c>
      <c r="K109" s="101">
        <v>2194.3000000000002</v>
      </c>
      <c r="L109" s="117">
        <v>61</v>
      </c>
      <c r="M109" s="115" t="s">
        <v>275</v>
      </c>
      <c r="N109" s="118" t="s">
        <v>1558</v>
      </c>
      <c r="O109" s="101">
        <v>1522500</v>
      </c>
      <c r="P109" s="101">
        <f t="shared" si="1"/>
        <v>417.4320730403312</v>
      </c>
      <c r="Q109" s="101">
        <v>1803.1557864721847</v>
      </c>
    </row>
    <row r="110" spans="1:17" ht="35.25" x14ac:dyDescent="0.5">
      <c r="A110" s="6">
        <v>1</v>
      </c>
      <c r="B110" s="91">
        <f>SUBTOTAL(103,$A$65:A110)</f>
        <v>41</v>
      </c>
      <c r="C110" s="119" t="s">
        <v>1482</v>
      </c>
      <c r="D110" s="115">
        <v>1973</v>
      </c>
      <c r="E110" s="115"/>
      <c r="F110" s="116" t="s">
        <v>273</v>
      </c>
      <c r="G110" s="115">
        <v>5</v>
      </c>
      <c r="H110" s="115">
        <v>6</v>
      </c>
      <c r="I110" s="101">
        <v>4358.8999999999996</v>
      </c>
      <c r="J110" s="101">
        <v>3381.5</v>
      </c>
      <c r="K110" s="101">
        <v>2777</v>
      </c>
      <c r="L110" s="117">
        <v>177</v>
      </c>
      <c r="M110" s="115" t="s">
        <v>275</v>
      </c>
      <c r="N110" s="118" t="s">
        <v>1420</v>
      </c>
      <c r="O110" s="101">
        <v>116725</v>
      </c>
      <c r="P110" s="101">
        <f t="shared" si="1"/>
        <v>26.778545045768428</v>
      </c>
      <c r="Q110" s="101">
        <v>2156.0697061185165</v>
      </c>
    </row>
    <row r="111" spans="1:17" ht="35.25" x14ac:dyDescent="0.5">
      <c r="A111" s="6">
        <v>1</v>
      </c>
      <c r="B111" s="91">
        <f>SUBTOTAL(103,$A$65:A111)</f>
        <v>42</v>
      </c>
      <c r="C111" s="119" t="s">
        <v>1483</v>
      </c>
      <c r="D111" s="115">
        <v>1949</v>
      </c>
      <c r="E111" s="115"/>
      <c r="F111" s="116" t="s">
        <v>344</v>
      </c>
      <c r="G111" s="115">
        <v>2</v>
      </c>
      <c r="H111" s="115">
        <v>2</v>
      </c>
      <c r="I111" s="101">
        <v>728.8</v>
      </c>
      <c r="J111" s="101">
        <v>722.1</v>
      </c>
      <c r="K111" s="101">
        <v>667.2</v>
      </c>
      <c r="L111" s="117">
        <v>25</v>
      </c>
      <c r="M111" s="115" t="s">
        <v>272</v>
      </c>
      <c r="N111" s="118" t="s">
        <v>274</v>
      </c>
      <c r="O111" s="101">
        <v>67681.820000000007</v>
      </c>
      <c r="P111" s="101">
        <f t="shared" si="1"/>
        <v>92.867480790340295</v>
      </c>
      <c r="Q111" s="101">
        <v>5780.2017151481887</v>
      </c>
    </row>
    <row r="112" spans="1:17" ht="35.25" x14ac:dyDescent="0.5">
      <c r="A112" s="6">
        <v>1</v>
      </c>
      <c r="B112" s="91">
        <f>SUBTOTAL(103,$A$65:A112)</f>
        <v>43</v>
      </c>
      <c r="C112" s="119" t="s">
        <v>1484</v>
      </c>
      <c r="D112" s="115">
        <v>1956</v>
      </c>
      <c r="E112" s="115"/>
      <c r="F112" s="116" t="s">
        <v>273</v>
      </c>
      <c r="G112" s="115">
        <v>4</v>
      </c>
      <c r="H112" s="115">
        <v>3</v>
      </c>
      <c r="I112" s="101">
        <v>4032.8</v>
      </c>
      <c r="J112" s="101">
        <v>3036.64</v>
      </c>
      <c r="K112" s="101">
        <v>2440.14</v>
      </c>
      <c r="L112" s="117">
        <v>93</v>
      </c>
      <c r="M112" s="115" t="s">
        <v>275</v>
      </c>
      <c r="N112" s="118" t="s">
        <v>1558</v>
      </c>
      <c r="O112" s="101">
        <v>253750</v>
      </c>
      <c r="P112" s="101">
        <f t="shared" si="1"/>
        <v>62.921543344574488</v>
      </c>
      <c r="Q112" s="101">
        <v>673.78</v>
      </c>
    </row>
    <row r="113" spans="1:17" ht="35.25" x14ac:dyDescent="0.5">
      <c r="A113" s="6">
        <v>1</v>
      </c>
      <c r="B113" s="91">
        <f>SUBTOTAL(103,$A$65:A113)</f>
        <v>44</v>
      </c>
      <c r="C113" s="119" t="s">
        <v>1485</v>
      </c>
      <c r="D113" s="115">
        <v>1953</v>
      </c>
      <c r="E113" s="115"/>
      <c r="F113" s="116" t="s">
        <v>273</v>
      </c>
      <c r="G113" s="115">
        <v>2</v>
      </c>
      <c r="H113" s="115">
        <v>1</v>
      </c>
      <c r="I113" s="101">
        <v>617.9</v>
      </c>
      <c r="J113" s="101">
        <v>408.9</v>
      </c>
      <c r="K113" s="101">
        <f>J113</f>
        <v>408.9</v>
      </c>
      <c r="L113" s="117">
        <v>21</v>
      </c>
      <c r="M113" s="115" t="s">
        <v>272</v>
      </c>
      <c r="N113" s="118" t="s">
        <v>274</v>
      </c>
      <c r="O113" s="101">
        <v>48136.38</v>
      </c>
      <c r="P113" s="101">
        <f t="shared" si="1"/>
        <v>77.903188218158277</v>
      </c>
      <c r="Q113" s="101">
        <v>6230.7922285159411</v>
      </c>
    </row>
    <row r="114" spans="1:17" ht="35.25" x14ac:dyDescent="0.5">
      <c r="A114" s="6">
        <v>1</v>
      </c>
      <c r="B114" s="91">
        <f>SUBTOTAL(103,$A$65:A114)</f>
        <v>45</v>
      </c>
      <c r="C114" s="119" t="s">
        <v>1486</v>
      </c>
      <c r="D114" s="115">
        <v>1937</v>
      </c>
      <c r="E114" s="115"/>
      <c r="F114" s="116" t="s">
        <v>273</v>
      </c>
      <c r="G114" s="115">
        <v>4</v>
      </c>
      <c r="H114" s="115">
        <v>6</v>
      </c>
      <c r="I114" s="101">
        <v>2381.6999999999998</v>
      </c>
      <c r="J114" s="101">
        <v>2256.8000000000002</v>
      </c>
      <c r="K114" s="101">
        <v>2256.8000000000002</v>
      </c>
      <c r="L114" s="117">
        <v>155</v>
      </c>
      <c r="M114" s="115" t="s">
        <v>275</v>
      </c>
      <c r="N114" s="118" t="s">
        <v>1651</v>
      </c>
      <c r="O114" s="101">
        <v>1182149.27</v>
      </c>
      <c r="P114" s="101">
        <f t="shared" si="1"/>
        <v>496.34684049208551</v>
      </c>
      <c r="Q114" s="101">
        <v>3146.9165512029222</v>
      </c>
    </row>
    <row r="115" spans="1:17" ht="35.25" x14ac:dyDescent="0.5">
      <c r="A115" s="6">
        <v>1</v>
      </c>
      <c r="B115" s="91">
        <f>SUBTOTAL(103,$A$65:A115)</f>
        <v>46</v>
      </c>
      <c r="C115" s="119" t="s">
        <v>1487</v>
      </c>
      <c r="D115" s="115">
        <v>1955</v>
      </c>
      <c r="E115" s="115"/>
      <c r="F115" s="116" t="s">
        <v>273</v>
      </c>
      <c r="G115" s="115">
        <v>3</v>
      </c>
      <c r="H115" s="115">
        <v>3</v>
      </c>
      <c r="I115" s="101">
        <v>1854.6</v>
      </c>
      <c r="J115" s="101">
        <v>1281.7</v>
      </c>
      <c r="K115" s="101">
        <v>834.3</v>
      </c>
      <c r="L115" s="117">
        <v>34</v>
      </c>
      <c r="M115" s="115" t="s">
        <v>275</v>
      </c>
      <c r="N115" s="118" t="s">
        <v>1652</v>
      </c>
      <c r="O115" s="101">
        <v>212532.16</v>
      </c>
      <c r="P115" s="101">
        <f t="shared" si="1"/>
        <v>114.59730400086272</v>
      </c>
      <c r="Q115" s="101">
        <v>3725.0323843416368</v>
      </c>
    </row>
    <row r="116" spans="1:17" ht="35.25" x14ac:dyDescent="0.5">
      <c r="A116" s="6">
        <v>1</v>
      </c>
      <c r="B116" s="91">
        <f>SUBTOTAL(103,$A$65:A116)</f>
        <v>47</v>
      </c>
      <c r="C116" s="119" t="s">
        <v>1488</v>
      </c>
      <c r="D116" s="115">
        <v>1929</v>
      </c>
      <c r="E116" s="115"/>
      <c r="F116" s="116" t="s">
        <v>273</v>
      </c>
      <c r="G116" s="115">
        <v>3</v>
      </c>
      <c r="H116" s="115">
        <v>5</v>
      </c>
      <c r="I116" s="101">
        <v>2240.83</v>
      </c>
      <c r="J116" s="101">
        <v>1864.33</v>
      </c>
      <c r="K116" s="101">
        <v>1864.33</v>
      </c>
      <c r="L116" s="117">
        <v>90</v>
      </c>
      <c r="M116" s="115" t="s">
        <v>275</v>
      </c>
      <c r="N116" s="118" t="s">
        <v>1383</v>
      </c>
      <c r="O116" s="101">
        <v>69345.69</v>
      </c>
      <c r="P116" s="101">
        <f t="shared" si="1"/>
        <v>30.946430563675069</v>
      </c>
      <c r="Q116" s="101">
        <v>888.07393532753497</v>
      </c>
    </row>
    <row r="117" spans="1:17" ht="35.25" x14ac:dyDescent="0.5">
      <c r="A117" s="6">
        <v>1</v>
      </c>
      <c r="B117" s="91">
        <f>SUBTOTAL(103,$A$65:A117)</f>
        <v>48</v>
      </c>
      <c r="C117" s="119" t="s">
        <v>1489</v>
      </c>
      <c r="D117" s="115">
        <v>1981</v>
      </c>
      <c r="E117" s="115"/>
      <c r="F117" s="116" t="s">
        <v>273</v>
      </c>
      <c r="G117" s="115">
        <v>5</v>
      </c>
      <c r="H117" s="115">
        <v>1</v>
      </c>
      <c r="I117" s="101">
        <v>2902.7</v>
      </c>
      <c r="J117" s="101">
        <v>2700</v>
      </c>
      <c r="K117" s="101">
        <v>1260</v>
      </c>
      <c r="L117" s="117">
        <v>179</v>
      </c>
      <c r="M117" s="115" t="s">
        <v>275</v>
      </c>
      <c r="N117" s="118" t="s">
        <v>1559</v>
      </c>
      <c r="O117" s="101">
        <v>8410.2900000000009</v>
      </c>
      <c r="P117" s="101">
        <f t="shared" si="1"/>
        <v>2.8974024184380065</v>
      </c>
      <c r="Q117" s="101">
        <v>1190.0032831501705</v>
      </c>
    </row>
    <row r="118" spans="1:17" ht="35.25" x14ac:dyDescent="0.5">
      <c r="A118" s="6">
        <v>1</v>
      </c>
      <c r="B118" s="91">
        <f>SUBTOTAL(103,$A$65:A118)</f>
        <v>49</v>
      </c>
      <c r="C118" s="119" t="s">
        <v>1490</v>
      </c>
      <c r="D118" s="115">
        <v>1977</v>
      </c>
      <c r="E118" s="115"/>
      <c r="F118" s="116" t="s">
        <v>319</v>
      </c>
      <c r="G118" s="115">
        <v>5</v>
      </c>
      <c r="H118" s="115">
        <v>6</v>
      </c>
      <c r="I118" s="101">
        <v>4839.2</v>
      </c>
      <c r="J118" s="101">
        <v>4665.24</v>
      </c>
      <c r="K118" s="101">
        <v>4372.8999999999996</v>
      </c>
      <c r="L118" s="117">
        <v>183</v>
      </c>
      <c r="M118" s="115" t="s">
        <v>275</v>
      </c>
      <c r="N118" s="118" t="s">
        <v>1560</v>
      </c>
      <c r="O118" s="101">
        <v>7622.65</v>
      </c>
      <c r="P118" s="101">
        <f t="shared" si="1"/>
        <v>1.5751880476111755</v>
      </c>
      <c r="Q118" s="101">
        <v>94.91</v>
      </c>
    </row>
    <row r="119" spans="1:17" ht="35.25" x14ac:dyDescent="0.5">
      <c r="A119" s="6">
        <v>1</v>
      </c>
      <c r="B119" s="91">
        <f>SUBTOTAL(103,$A$65:A119)</f>
        <v>50</v>
      </c>
      <c r="C119" s="119" t="s">
        <v>1491</v>
      </c>
      <c r="D119" s="115">
        <v>1959</v>
      </c>
      <c r="E119" s="115"/>
      <c r="F119" s="116" t="s">
        <v>273</v>
      </c>
      <c r="G119" s="115">
        <v>2</v>
      </c>
      <c r="H119" s="115">
        <v>1</v>
      </c>
      <c r="I119" s="101">
        <v>367.5</v>
      </c>
      <c r="J119" s="101">
        <v>251</v>
      </c>
      <c r="K119" s="101">
        <v>251</v>
      </c>
      <c r="L119" s="117">
        <v>14</v>
      </c>
      <c r="M119" s="115" t="s">
        <v>275</v>
      </c>
      <c r="N119" s="118" t="s">
        <v>1012</v>
      </c>
      <c r="O119" s="101">
        <v>52780</v>
      </c>
      <c r="P119" s="101">
        <f t="shared" si="1"/>
        <v>143.61904761904762</v>
      </c>
      <c r="Q119" s="101">
        <v>4585.1548408163262</v>
      </c>
    </row>
    <row r="120" spans="1:17" ht="35.25" x14ac:dyDescent="0.5">
      <c r="A120" s="6">
        <v>1</v>
      </c>
      <c r="B120" s="91">
        <f>SUBTOTAL(103,$A$65:A120)</f>
        <v>51</v>
      </c>
      <c r="C120" s="119" t="s">
        <v>1492</v>
      </c>
      <c r="D120" s="115">
        <v>1934</v>
      </c>
      <c r="E120" s="115"/>
      <c r="F120" s="116" t="s">
        <v>273</v>
      </c>
      <c r="G120" s="115">
        <v>3</v>
      </c>
      <c r="H120" s="115">
        <v>7</v>
      </c>
      <c r="I120" s="101">
        <v>2922</v>
      </c>
      <c r="J120" s="101">
        <v>2656.4</v>
      </c>
      <c r="K120" s="101">
        <v>2656.4</v>
      </c>
      <c r="L120" s="117">
        <v>95</v>
      </c>
      <c r="M120" s="115" t="s">
        <v>275</v>
      </c>
      <c r="N120" s="118" t="s">
        <v>1012</v>
      </c>
      <c r="O120" s="101">
        <v>209078.37</v>
      </c>
      <c r="P120" s="101">
        <f t="shared" si="1"/>
        <v>71.553172484599585</v>
      </c>
      <c r="Q120" s="101">
        <v>3120.614815195072</v>
      </c>
    </row>
    <row r="121" spans="1:17" ht="35.25" x14ac:dyDescent="0.5">
      <c r="A121" s="6">
        <v>1</v>
      </c>
      <c r="B121" s="91">
        <f>SUBTOTAL(103,$A$65:A121)</f>
        <v>52</v>
      </c>
      <c r="C121" s="119" t="s">
        <v>1493</v>
      </c>
      <c r="D121" s="115">
        <v>1934</v>
      </c>
      <c r="E121" s="115"/>
      <c r="F121" s="116" t="s">
        <v>273</v>
      </c>
      <c r="G121" s="115">
        <v>3</v>
      </c>
      <c r="H121" s="115">
        <v>5</v>
      </c>
      <c r="I121" s="101">
        <v>1040.8</v>
      </c>
      <c r="J121" s="101">
        <v>878</v>
      </c>
      <c r="K121" s="101">
        <v>878</v>
      </c>
      <c r="L121" s="117">
        <v>58</v>
      </c>
      <c r="M121" s="115" t="s">
        <v>272</v>
      </c>
      <c r="N121" s="118" t="s">
        <v>274</v>
      </c>
      <c r="O121" s="101">
        <v>913500</v>
      </c>
      <c r="P121" s="101">
        <f t="shared" si="1"/>
        <v>877.69023827824753</v>
      </c>
      <c r="Q121" s="101">
        <v>4258.1021137586467</v>
      </c>
    </row>
    <row r="122" spans="1:17" ht="35.25" x14ac:dyDescent="0.5">
      <c r="A122" s="6">
        <v>1</v>
      </c>
      <c r="B122" s="91">
        <f>SUBTOTAL(103,$A$65:A122)</f>
        <v>53</v>
      </c>
      <c r="C122" s="119" t="s">
        <v>1494</v>
      </c>
      <c r="D122" s="115">
        <v>1928</v>
      </c>
      <c r="E122" s="115"/>
      <c r="F122" s="116" t="s">
        <v>338</v>
      </c>
      <c r="G122" s="115">
        <v>2</v>
      </c>
      <c r="H122" s="115">
        <v>1</v>
      </c>
      <c r="I122" s="101">
        <v>286.10000000000002</v>
      </c>
      <c r="J122" s="101">
        <v>205.8</v>
      </c>
      <c r="K122" s="101">
        <v>205.8</v>
      </c>
      <c r="L122" s="117">
        <v>16</v>
      </c>
      <c r="M122" s="115" t="s">
        <v>272</v>
      </c>
      <c r="N122" s="118" t="s">
        <v>274</v>
      </c>
      <c r="O122" s="101">
        <v>45260.939999999995</v>
      </c>
      <c r="P122" s="101">
        <f t="shared" si="1"/>
        <v>158.19972037749037</v>
      </c>
      <c r="Q122" s="101">
        <v>2338.5636490737506</v>
      </c>
    </row>
    <row r="123" spans="1:17" ht="35.25" x14ac:dyDescent="0.5">
      <c r="A123" s="6">
        <v>1</v>
      </c>
      <c r="B123" s="91">
        <f>SUBTOTAL(103,$A$65:A123)</f>
        <v>54</v>
      </c>
      <c r="C123" s="119" t="s">
        <v>1495</v>
      </c>
      <c r="D123" s="115">
        <v>1958</v>
      </c>
      <c r="E123" s="115"/>
      <c r="F123" s="116" t="s">
        <v>273</v>
      </c>
      <c r="G123" s="115">
        <v>2</v>
      </c>
      <c r="H123" s="115">
        <v>1</v>
      </c>
      <c r="I123" s="101">
        <v>417.2</v>
      </c>
      <c r="J123" s="101">
        <v>385.8</v>
      </c>
      <c r="K123" s="101">
        <v>385.8</v>
      </c>
      <c r="L123" s="117">
        <v>20</v>
      </c>
      <c r="M123" s="115" t="s">
        <v>272</v>
      </c>
      <c r="N123" s="118" t="s">
        <v>274</v>
      </c>
      <c r="O123" s="101">
        <v>41021.47</v>
      </c>
      <c r="P123" s="101">
        <f t="shared" si="1"/>
        <v>98.325671140939605</v>
      </c>
      <c r="Q123" s="101">
        <v>4113.6371778523489</v>
      </c>
    </row>
    <row r="124" spans="1:17" ht="35.25" x14ac:dyDescent="0.5">
      <c r="A124" s="6">
        <v>1</v>
      </c>
      <c r="B124" s="91">
        <f>SUBTOTAL(103,$A$65:A124)</f>
        <v>55</v>
      </c>
      <c r="C124" s="119" t="s">
        <v>1496</v>
      </c>
      <c r="D124" s="115">
        <v>1958</v>
      </c>
      <c r="E124" s="115"/>
      <c r="F124" s="116" t="s">
        <v>273</v>
      </c>
      <c r="G124" s="115">
        <v>4</v>
      </c>
      <c r="H124" s="115">
        <v>5</v>
      </c>
      <c r="I124" s="101">
        <v>3533.4</v>
      </c>
      <c r="J124" s="101">
        <v>3254</v>
      </c>
      <c r="K124" s="101">
        <v>3254</v>
      </c>
      <c r="L124" s="117">
        <v>98</v>
      </c>
      <c r="M124" s="115" t="s">
        <v>275</v>
      </c>
      <c r="N124" s="118" t="s">
        <v>1420</v>
      </c>
      <c r="O124" s="101">
        <v>504846.64999999997</v>
      </c>
      <c r="P124" s="101">
        <f t="shared" si="1"/>
        <v>142.87843153902756</v>
      </c>
      <c r="Q124" s="101">
        <v>6118.4410154525385</v>
      </c>
    </row>
    <row r="125" spans="1:17" ht="35.25" x14ac:dyDescent="0.5">
      <c r="A125" s="6">
        <v>1</v>
      </c>
      <c r="B125" s="91">
        <f>SUBTOTAL(103,$A$65:A125)</f>
        <v>56</v>
      </c>
      <c r="C125" s="119" t="s">
        <v>1539</v>
      </c>
      <c r="D125" s="115">
        <v>1958</v>
      </c>
      <c r="E125" s="115"/>
      <c r="F125" s="116" t="s">
        <v>273</v>
      </c>
      <c r="G125" s="115">
        <v>4</v>
      </c>
      <c r="H125" s="115">
        <v>4</v>
      </c>
      <c r="I125" s="101">
        <v>3399.9</v>
      </c>
      <c r="J125" s="101">
        <v>2625.8</v>
      </c>
      <c r="K125" s="101">
        <v>2062.6999999999998</v>
      </c>
      <c r="L125" s="117">
        <v>68</v>
      </c>
      <c r="M125" s="115" t="s">
        <v>275</v>
      </c>
      <c r="N125" s="118" t="s">
        <v>1612</v>
      </c>
      <c r="O125" s="101">
        <v>52491.74</v>
      </c>
      <c r="P125" s="101">
        <f t="shared" si="1"/>
        <v>15.439201152975086</v>
      </c>
      <c r="Q125" s="101">
        <v>3543.4097591105619</v>
      </c>
    </row>
    <row r="126" spans="1:17" ht="35.25" x14ac:dyDescent="0.5">
      <c r="A126" s="6">
        <v>1</v>
      </c>
      <c r="B126" s="91">
        <f>SUBTOTAL(103,$A$65:A126)</f>
        <v>57</v>
      </c>
      <c r="C126" s="119" t="s">
        <v>1540</v>
      </c>
      <c r="D126" s="115">
        <v>1942</v>
      </c>
      <c r="E126" s="115"/>
      <c r="F126" s="116" t="s">
        <v>338</v>
      </c>
      <c r="G126" s="115">
        <v>2</v>
      </c>
      <c r="H126" s="115">
        <v>2</v>
      </c>
      <c r="I126" s="101">
        <v>489</v>
      </c>
      <c r="J126" s="101">
        <v>431</v>
      </c>
      <c r="K126" s="101">
        <v>431</v>
      </c>
      <c r="L126" s="117">
        <v>39</v>
      </c>
      <c r="M126" s="115" t="s">
        <v>272</v>
      </c>
      <c r="N126" s="118" t="s">
        <v>274</v>
      </c>
      <c r="O126" s="101">
        <v>81764.34</v>
      </c>
      <c r="P126" s="101">
        <f t="shared" si="1"/>
        <v>167.20723926380367</v>
      </c>
      <c r="Q126" s="101">
        <v>4264.9658895705516</v>
      </c>
    </row>
    <row r="127" spans="1:17" ht="35.25" x14ac:dyDescent="0.5">
      <c r="A127" s="6">
        <v>1</v>
      </c>
      <c r="B127" s="91">
        <f>SUBTOTAL(103,$A$65:A127)</f>
        <v>58</v>
      </c>
      <c r="C127" s="119" t="s">
        <v>1541</v>
      </c>
      <c r="D127" s="115">
        <v>1931</v>
      </c>
      <c r="E127" s="115"/>
      <c r="F127" s="116" t="s">
        <v>273</v>
      </c>
      <c r="G127" s="115">
        <v>3</v>
      </c>
      <c r="H127" s="115">
        <v>5</v>
      </c>
      <c r="I127" s="101">
        <v>1823.46</v>
      </c>
      <c r="J127" s="101">
        <v>1514.06</v>
      </c>
      <c r="K127" s="101">
        <v>1514.06</v>
      </c>
      <c r="L127" s="117">
        <v>60</v>
      </c>
      <c r="M127" s="115" t="s">
        <v>275</v>
      </c>
      <c r="N127" s="118" t="s">
        <v>1420</v>
      </c>
      <c r="O127" s="101">
        <v>7612.5</v>
      </c>
      <c r="P127" s="101">
        <f t="shared" ref="P127" si="2">O127/I127</f>
        <v>4.174755684248626</v>
      </c>
      <c r="Q127" s="101">
        <v>2956.8337665756308</v>
      </c>
    </row>
    <row r="128" spans="1:17" ht="35.25" x14ac:dyDescent="0.5">
      <c r="A128" s="6">
        <v>1</v>
      </c>
      <c r="B128" s="91">
        <f>SUBTOTAL(103,$A$65:A128)</f>
        <v>59</v>
      </c>
      <c r="C128" s="119" t="s">
        <v>1720</v>
      </c>
      <c r="D128" s="115">
        <v>1984</v>
      </c>
      <c r="E128" s="115"/>
      <c r="F128" s="116" t="s">
        <v>319</v>
      </c>
      <c r="G128" s="115">
        <v>5</v>
      </c>
      <c r="H128" s="115">
        <v>5</v>
      </c>
      <c r="I128" s="101">
        <v>4724.5</v>
      </c>
      <c r="J128" s="101">
        <v>4003.6</v>
      </c>
      <c r="K128" s="101">
        <v>1759.6</v>
      </c>
      <c r="L128" s="117">
        <v>146</v>
      </c>
      <c r="M128" s="115" t="s">
        <v>275</v>
      </c>
      <c r="N128" s="118" t="s">
        <v>1555</v>
      </c>
      <c r="O128" s="101">
        <v>16859.560000000001</v>
      </c>
      <c r="P128" s="101">
        <f t="shared" ref="P128:P191" si="3">O128/I128</f>
        <v>3.5685384696793316</v>
      </c>
      <c r="Q128" s="101">
        <v>1128.6737220869934</v>
      </c>
    </row>
    <row r="129" spans="1:17" ht="35.25" x14ac:dyDescent="0.5">
      <c r="B129" s="114" t="s">
        <v>1443</v>
      </c>
      <c r="C129" s="119"/>
      <c r="D129" s="115" t="s">
        <v>776</v>
      </c>
      <c r="E129" s="115" t="s">
        <v>776</v>
      </c>
      <c r="F129" s="116" t="s">
        <v>776</v>
      </c>
      <c r="G129" s="115" t="s">
        <v>776</v>
      </c>
      <c r="H129" s="115" t="s">
        <v>776</v>
      </c>
      <c r="I129" s="101">
        <f>SUM(I130:I142)</f>
        <v>42587.08</v>
      </c>
      <c r="J129" s="101">
        <f>SUM(J130:J142)</f>
        <v>39880.97</v>
      </c>
      <c r="K129" s="101">
        <f>SUM(K130:K142)</f>
        <v>36523.299999999996</v>
      </c>
      <c r="L129" s="117">
        <f>SUM(L130:L142)</f>
        <v>2005</v>
      </c>
      <c r="M129" s="115" t="s">
        <v>915</v>
      </c>
      <c r="N129" s="115" t="s">
        <v>915</v>
      </c>
      <c r="O129" s="101">
        <v>5724003.1600000001</v>
      </c>
      <c r="P129" s="101">
        <f t="shared" si="3"/>
        <v>134.4070351853191</v>
      </c>
      <c r="Q129" s="101">
        <f>MAX(Q130:Q142)</f>
        <v>5215.7493329707868</v>
      </c>
    </row>
    <row r="130" spans="1:17" ht="35.25" x14ac:dyDescent="0.5">
      <c r="A130" s="6">
        <v>1</v>
      </c>
      <c r="B130" s="91">
        <f>SUBTOTAL(103,$A$65:A130)</f>
        <v>60</v>
      </c>
      <c r="C130" s="119" t="s">
        <v>1497</v>
      </c>
      <c r="D130" s="115">
        <v>1968</v>
      </c>
      <c r="E130" s="115"/>
      <c r="F130" s="116" t="s">
        <v>273</v>
      </c>
      <c r="G130" s="115">
        <v>6</v>
      </c>
      <c r="H130" s="115">
        <v>8</v>
      </c>
      <c r="I130" s="101">
        <v>6064</v>
      </c>
      <c r="J130" s="101">
        <v>5971</v>
      </c>
      <c r="K130" s="101">
        <v>5128.3999999999996</v>
      </c>
      <c r="L130" s="117">
        <v>268</v>
      </c>
      <c r="M130" s="115" t="s">
        <v>349</v>
      </c>
      <c r="N130" s="118" t="s">
        <v>1561</v>
      </c>
      <c r="O130" s="101">
        <v>1768863.85</v>
      </c>
      <c r="P130" s="101">
        <f t="shared" si="3"/>
        <v>291.69918370712401</v>
      </c>
      <c r="Q130" s="101">
        <v>1992.2314462401055</v>
      </c>
    </row>
    <row r="131" spans="1:17" ht="35.25" x14ac:dyDescent="0.5">
      <c r="A131" s="6">
        <v>1</v>
      </c>
      <c r="B131" s="91">
        <f>SUBTOTAL(103,$A$65:A131)</f>
        <v>61</v>
      </c>
      <c r="C131" s="119" t="s">
        <v>1498</v>
      </c>
      <c r="D131" s="115">
        <v>1983</v>
      </c>
      <c r="E131" s="115"/>
      <c r="F131" s="116" t="s">
        <v>273</v>
      </c>
      <c r="G131" s="115">
        <v>5</v>
      </c>
      <c r="H131" s="115">
        <v>6</v>
      </c>
      <c r="I131" s="101">
        <v>4247.2</v>
      </c>
      <c r="J131" s="101">
        <v>3821.7</v>
      </c>
      <c r="K131" s="101">
        <v>3620.8</v>
      </c>
      <c r="L131" s="117">
        <v>176</v>
      </c>
      <c r="M131" s="115" t="s">
        <v>275</v>
      </c>
      <c r="N131" s="118" t="s">
        <v>1562</v>
      </c>
      <c r="O131" s="101">
        <v>293340.08</v>
      </c>
      <c r="P131" s="101">
        <f t="shared" si="3"/>
        <v>69.066698059898286</v>
      </c>
      <c r="Q131" s="101">
        <v>1583.3426375023544</v>
      </c>
    </row>
    <row r="132" spans="1:17" ht="35.25" x14ac:dyDescent="0.5">
      <c r="A132" s="6">
        <v>1</v>
      </c>
      <c r="B132" s="91">
        <f>SUBTOTAL(103,$A$65:A132)</f>
        <v>62</v>
      </c>
      <c r="C132" s="119" t="s">
        <v>1499</v>
      </c>
      <c r="D132" s="115">
        <v>1973</v>
      </c>
      <c r="E132" s="115"/>
      <c r="F132" s="116" t="s">
        <v>273</v>
      </c>
      <c r="G132" s="115">
        <v>5</v>
      </c>
      <c r="H132" s="115">
        <v>8</v>
      </c>
      <c r="I132" s="101">
        <v>6143</v>
      </c>
      <c r="J132" s="101">
        <v>6075.43</v>
      </c>
      <c r="K132" s="101">
        <v>5422.03</v>
      </c>
      <c r="L132" s="117">
        <v>275</v>
      </c>
      <c r="M132" s="115" t="s">
        <v>275</v>
      </c>
      <c r="N132" s="118" t="s">
        <v>1563</v>
      </c>
      <c r="O132" s="101">
        <v>31698.43</v>
      </c>
      <c r="P132" s="101">
        <f t="shared" si="3"/>
        <v>5.160089532801563</v>
      </c>
      <c r="Q132" s="101">
        <v>1779.4984453849909</v>
      </c>
    </row>
    <row r="133" spans="1:17" ht="35.25" x14ac:dyDescent="0.5">
      <c r="A133" s="6">
        <v>1</v>
      </c>
      <c r="B133" s="91">
        <f>SUBTOTAL(103,$A$65:A133)</f>
        <v>63</v>
      </c>
      <c r="C133" s="119" t="s">
        <v>1500</v>
      </c>
      <c r="D133" s="115">
        <v>1961</v>
      </c>
      <c r="E133" s="115"/>
      <c r="F133" s="116" t="s">
        <v>273</v>
      </c>
      <c r="G133" s="115">
        <v>4</v>
      </c>
      <c r="H133" s="115">
        <v>3</v>
      </c>
      <c r="I133" s="101">
        <v>2176</v>
      </c>
      <c r="J133" s="101">
        <v>2029.3</v>
      </c>
      <c r="K133" s="101">
        <v>1988.8</v>
      </c>
      <c r="L133" s="117">
        <v>89</v>
      </c>
      <c r="M133" s="115" t="s">
        <v>275</v>
      </c>
      <c r="N133" s="118" t="s">
        <v>1368</v>
      </c>
      <c r="O133" s="101">
        <v>104524.7</v>
      </c>
      <c r="P133" s="101">
        <f t="shared" si="3"/>
        <v>48.035248161764706</v>
      </c>
      <c r="Q133" s="101">
        <v>2004.0136764705881</v>
      </c>
    </row>
    <row r="134" spans="1:17" ht="35.25" x14ac:dyDescent="0.5">
      <c r="A134" s="6">
        <v>1</v>
      </c>
      <c r="B134" s="91">
        <f>SUBTOTAL(103,$A$65:A134)</f>
        <v>64</v>
      </c>
      <c r="C134" s="119" t="s">
        <v>1501</v>
      </c>
      <c r="D134" s="115">
        <v>1961</v>
      </c>
      <c r="E134" s="115"/>
      <c r="F134" s="116" t="s">
        <v>273</v>
      </c>
      <c r="G134" s="115">
        <v>2</v>
      </c>
      <c r="H134" s="115">
        <v>2</v>
      </c>
      <c r="I134" s="101">
        <v>588.42999999999995</v>
      </c>
      <c r="J134" s="101">
        <v>546.92999999999995</v>
      </c>
      <c r="K134" s="101">
        <v>516.08000000000004</v>
      </c>
      <c r="L134" s="117">
        <v>30</v>
      </c>
      <c r="M134" s="115" t="s">
        <v>275</v>
      </c>
      <c r="N134" s="118" t="s">
        <v>1013</v>
      </c>
      <c r="O134" s="101">
        <v>115014.75</v>
      </c>
      <c r="P134" s="101">
        <f t="shared" si="3"/>
        <v>195.46037761500943</v>
      </c>
      <c r="Q134" s="101">
        <v>5215.7493329707868</v>
      </c>
    </row>
    <row r="135" spans="1:17" ht="35.25" x14ac:dyDescent="0.5">
      <c r="A135" s="6">
        <v>1</v>
      </c>
      <c r="B135" s="91">
        <f>SUBTOTAL(103,$A$65:A135)</f>
        <v>65</v>
      </c>
      <c r="C135" s="119" t="s">
        <v>1502</v>
      </c>
      <c r="D135" s="115">
        <v>1963</v>
      </c>
      <c r="E135" s="115"/>
      <c r="F135" s="116" t="s">
        <v>273</v>
      </c>
      <c r="G135" s="115">
        <v>4</v>
      </c>
      <c r="H135" s="115">
        <v>4</v>
      </c>
      <c r="I135" s="101">
        <v>2368</v>
      </c>
      <c r="J135" s="101">
        <v>2347.9899999999998</v>
      </c>
      <c r="K135" s="101">
        <v>2199.56</v>
      </c>
      <c r="L135" s="117">
        <v>87</v>
      </c>
      <c r="M135" s="115" t="s">
        <v>275</v>
      </c>
      <c r="N135" s="118" t="s">
        <v>1564</v>
      </c>
      <c r="O135" s="101">
        <v>1485132.34</v>
      </c>
      <c r="P135" s="101">
        <f t="shared" si="3"/>
        <v>627.16737331081083</v>
      </c>
      <c r="Q135" s="101">
        <v>3097.5669679054054</v>
      </c>
    </row>
    <row r="136" spans="1:17" ht="35.25" x14ac:dyDescent="0.5">
      <c r="A136" s="6">
        <v>1</v>
      </c>
      <c r="B136" s="91">
        <f>SUBTOTAL(103,$A$65:A136)</f>
        <v>66</v>
      </c>
      <c r="C136" s="119" t="s">
        <v>1503</v>
      </c>
      <c r="D136" s="115">
        <v>1971</v>
      </c>
      <c r="E136" s="115"/>
      <c r="F136" s="116" t="s">
        <v>273</v>
      </c>
      <c r="G136" s="115">
        <v>4</v>
      </c>
      <c r="H136" s="115">
        <v>1</v>
      </c>
      <c r="I136" s="101">
        <v>1601</v>
      </c>
      <c r="J136" s="101">
        <v>1473.9</v>
      </c>
      <c r="K136" s="101">
        <v>1166.5999999999999</v>
      </c>
      <c r="L136" s="117">
        <v>103</v>
      </c>
      <c r="M136" s="115" t="s">
        <v>275</v>
      </c>
      <c r="N136" s="118" t="s">
        <v>1013</v>
      </c>
      <c r="O136" s="101">
        <v>184374.75</v>
      </c>
      <c r="P136" s="101">
        <f t="shared" si="3"/>
        <v>115.16224234853216</v>
      </c>
      <c r="Q136" s="101">
        <v>2472.1048594628355</v>
      </c>
    </row>
    <row r="137" spans="1:17" ht="35.25" x14ac:dyDescent="0.5">
      <c r="A137" s="6">
        <v>1</v>
      </c>
      <c r="B137" s="91">
        <f>SUBTOTAL(103,$A$65:A137)</f>
        <v>67</v>
      </c>
      <c r="C137" s="119" t="s">
        <v>1504</v>
      </c>
      <c r="D137" s="115">
        <v>1963</v>
      </c>
      <c r="E137" s="115"/>
      <c r="F137" s="116" t="s">
        <v>273</v>
      </c>
      <c r="G137" s="115">
        <v>2</v>
      </c>
      <c r="H137" s="115">
        <v>2</v>
      </c>
      <c r="I137" s="101">
        <v>1027.9000000000001</v>
      </c>
      <c r="J137" s="101">
        <v>620.86</v>
      </c>
      <c r="K137" s="101">
        <v>620.86</v>
      </c>
      <c r="L137" s="117">
        <v>40</v>
      </c>
      <c r="M137" s="115" t="s">
        <v>275</v>
      </c>
      <c r="N137" s="118" t="s">
        <v>1565</v>
      </c>
      <c r="O137" s="101">
        <v>21662.15</v>
      </c>
      <c r="P137" s="101">
        <f t="shared" si="3"/>
        <v>21.074180367740052</v>
      </c>
      <c r="Q137" s="101">
        <v>3222.1273372896194</v>
      </c>
    </row>
    <row r="138" spans="1:17" ht="35.25" x14ac:dyDescent="0.5">
      <c r="A138" s="6">
        <v>1</v>
      </c>
      <c r="B138" s="91">
        <f>SUBTOTAL(103,$A$65:A138)</f>
        <v>68</v>
      </c>
      <c r="C138" s="119" t="s">
        <v>1505</v>
      </c>
      <c r="D138" s="115">
        <v>2003</v>
      </c>
      <c r="E138" s="115"/>
      <c r="F138" s="116" t="s">
        <v>273</v>
      </c>
      <c r="G138" s="115">
        <v>5</v>
      </c>
      <c r="H138" s="115">
        <v>8</v>
      </c>
      <c r="I138" s="101">
        <v>6514</v>
      </c>
      <c r="J138" s="101">
        <v>5845.8</v>
      </c>
      <c r="K138" s="101">
        <v>5845.8</v>
      </c>
      <c r="L138" s="117">
        <v>360</v>
      </c>
      <c r="M138" s="115" t="s">
        <v>275</v>
      </c>
      <c r="N138" s="118" t="s">
        <v>1566</v>
      </c>
      <c r="O138" s="101">
        <v>1197776.18</v>
      </c>
      <c r="P138" s="101">
        <f t="shared" si="3"/>
        <v>183.87721522873809</v>
      </c>
      <c r="Q138" s="101">
        <v>1408.9170386859073</v>
      </c>
    </row>
    <row r="139" spans="1:17" ht="35.25" x14ac:dyDescent="0.5">
      <c r="A139" s="6">
        <v>1</v>
      </c>
      <c r="B139" s="91">
        <f>SUBTOTAL(103,$A$65:A139)</f>
        <v>69</v>
      </c>
      <c r="C139" s="119" t="s">
        <v>1506</v>
      </c>
      <c r="D139" s="115">
        <v>1960</v>
      </c>
      <c r="E139" s="115"/>
      <c r="F139" s="116" t="s">
        <v>273</v>
      </c>
      <c r="G139" s="115">
        <v>2</v>
      </c>
      <c r="H139" s="115">
        <v>2</v>
      </c>
      <c r="I139" s="101">
        <v>585.54999999999995</v>
      </c>
      <c r="J139" s="101">
        <v>545.35</v>
      </c>
      <c r="K139" s="101">
        <v>433.53000000000003</v>
      </c>
      <c r="L139" s="117">
        <v>34</v>
      </c>
      <c r="M139" s="115" t="s">
        <v>275</v>
      </c>
      <c r="N139" s="118" t="s">
        <v>1565</v>
      </c>
      <c r="O139" s="101">
        <v>58132</v>
      </c>
      <c r="P139" s="101">
        <f t="shared" si="3"/>
        <v>99.277602254290841</v>
      </c>
      <c r="Q139" s="101">
        <v>4553.3421569464608</v>
      </c>
    </row>
    <row r="140" spans="1:17" ht="35.25" x14ac:dyDescent="0.5">
      <c r="A140" s="6">
        <v>1</v>
      </c>
      <c r="B140" s="91">
        <f>SUBTOTAL(103,$A$65:A140)</f>
        <v>70</v>
      </c>
      <c r="C140" s="119" t="s">
        <v>1189</v>
      </c>
      <c r="D140" s="115">
        <v>1989</v>
      </c>
      <c r="E140" s="115"/>
      <c r="F140" s="116" t="s">
        <v>273</v>
      </c>
      <c r="G140" s="115">
        <v>9</v>
      </c>
      <c r="H140" s="115">
        <v>1</v>
      </c>
      <c r="I140" s="101">
        <v>3494</v>
      </c>
      <c r="J140" s="101">
        <v>3277.11</v>
      </c>
      <c r="K140" s="101">
        <v>3141.61</v>
      </c>
      <c r="L140" s="117">
        <v>159</v>
      </c>
      <c r="M140" s="115" t="s">
        <v>275</v>
      </c>
      <c r="N140" s="118" t="s">
        <v>1567</v>
      </c>
      <c r="O140" s="101">
        <v>275836.81</v>
      </c>
      <c r="P140" s="101">
        <f t="shared" si="3"/>
        <v>78.945852890669713</v>
      </c>
      <c r="Q140" s="101">
        <v>844.47772753291349</v>
      </c>
    </row>
    <row r="141" spans="1:17" ht="35.25" x14ac:dyDescent="0.5">
      <c r="A141" s="6">
        <v>1</v>
      </c>
      <c r="B141" s="91">
        <f>SUBTOTAL(103,$A$65:A141)</f>
        <v>71</v>
      </c>
      <c r="C141" s="119" t="s">
        <v>1507</v>
      </c>
      <c r="D141" s="115">
        <v>1987</v>
      </c>
      <c r="E141" s="115"/>
      <c r="F141" s="116" t="s">
        <v>319</v>
      </c>
      <c r="G141" s="115">
        <v>5</v>
      </c>
      <c r="H141" s="115">
        <v>6</v>
      </c>
      <c r="I141" s="101">
        <v>4362</v>
      </c>
      <c r="J141" s="101">
        <v>3933.6</v>
      </c>
      <c r="K141" s="101">
        <v>3462.6</v>
      </c>
      <c r="L141" s="117">
        <v>234</v>
      </c>
      <c r="M141" s="118" t="s">
        <v>275</v>
      </c>
      <c r="N141" s="120" t="s">
        <v>329</v>
      </c>
      <c r="O141" s="101">
        <v>101365.01</v>
      </c>
      <c r="P141" s="101">
        <f t="shared" si="3"/>
        <v>23.238195781751489</v>
      </c>
      <c r="Q141" s="101">
        <v>1449.3074209078404</v>
      </c>
    </row>
    <row r="142" spans="1:17" ht="35.25" x14ac:dyDescent="0.5">
      <c r="A142" s="6">
        <v>1</v>
      </c>
      <c r="B142" s="91">
        <f>SUBTOTAL(103,$A$65:A142)</f>
        <v>72</v>
      </c>
      <c r="C142" s="119" t="s">
        <v>1545</v>
      </c>
      <c r="D142" s="115">
        <v>1966</v>
      </c>
      <c r="E142" s="115"/>
      <c r="F142" s="116" t="s">
        <v>273</v>
      </c>
      <c r="G142" s="115">
        <v>5</v>
      </c>
      <c r="H142" s="115">
        <v>4</v>
      </c>
      <c r="I142" s="101">
        <v>3416</v>
      </c>
      <c r="J142" s="101">
        <v>3392</v>
      </c>
      <c r="K142" s="101">
        <v>2976.63</v>
      </c>
      <c r="L142" s="117">
        <v>150</v>
      </c>
      <c r="M142" s="118" t="s">
        <v>275</v>
      </c>
      <c r="N142" s="120" t="s">
        <v>1565</v>
      </c>
      <c r="O142" s="101">
        <v>86282.11</v>
      </c>
      <c r="P142" s="101">
        <f t="shared" si="3"/>
        <v>25.258228922716629</v>
      </c>
      <c r="Q142" s="101">
        <v>703.11</v>
      </c>
    </row>
    <row r="143" spans="1:17" ht="35.25" x14ac:dyDescent="0.5">
      <c r="B143" s="114" t="s">
        <v>1445</v>
      </c>
      <c r="C143" s="119"/>
      <c r="D143" s="115" t="s">
        <v>776</v>
      </c>
      <c r="E143" s="115" t="s">
        <v>776</v>
      </c>
      <c r="F143" s="116" t="s">
        <v>776</v>
      </c>
      <c r="G143" s="115" t="s">
        <v>776</v>
      </c>
      <c r="H143" s="115" t="s">
        <v>776</v>
      </c>
      <c r="I143" s="101">
        <f>SUM(I144:I148)</f>
        <v>39280</v>
      </c>
      <c r="J143" s="101">
        <f>SUM(J144:J148)</f>
        <v>34872.199999999997</v>
      </c>
      <c r="K143" s="101">
        <f>SUM(K144:K148)</f>
        <v>32288.5</v>
      </c>
      <c r="L143" s="117">
        <f>SUM(L144:L148)</f>
        <v>1995</v>
      </c>
      <c r="M143" s="115" t="s">
        <v>915</v>
      </c>
      <c r="N143" s="115" t="s">
        <v>915</v>
      </c>
      <c r="O143" s="101">
        <v>1542530.93</v>
      </c>
      <c r="P143" s="101">
        <f t="shared" si="3"/>
        <v>39.270135692464358</v>
      </c>
      <c r="Q143" s="101">
        <f>MAX(Q144:Q148)</f>
        <v>831.84440735140163</v>
      </c>
    </row>
    <row r="144" spans="1:17" ht="35.25" x14ac:dyDescent="0.5">
      <c r="A144" s="6">
        <v>1</v>
      </c>
      <c r="B144" s="91">
        <f>SUBTOTAL(103,$A$65:A144)</f>
        <v>73</v>
      </c>
      <c r="C144" s="119" t="s">
        <v>1508</v>
      </c>
      <c r="D144" s="115">
        <v>1978</v>
      </c>
      <c r="E144" s="115"/>
      <c r="F144" s="116" t="s">
        <v>319</v>
      </c>
      <c r="G144" s="115">
        <v>9</v>
      </c>
      <c r="H144" s="115">
        <v>4</v>
      </c>
      <c r="I144" s="101">
        <v>8707</v>
      </c>
      <c r="J144" s="101">
        <v>7693.6</v>
      </c>
      <c r="K144" s="101">
        <v>7347.1</v>
      </c>
      <c r="L144" s="117">
        <v>357</v>
      </c>
      <c r="M144" s="115" t="s">
        <v>275</v>
      </c>
      <c r="N144" s="118" t="s">
        <v>327</v>
      </c>
      <c r="O144" s="101">
        <v>382556.25999999995</v>
      </c>
      <c r="P144" s="101">
        <f t="shared" si="3"/>
        <v>43.936632594464221</v>
      </c>
      <c r="Q144" s="101">
        <v>789.42093614333282</v>
      </c>
    </row>
    <row r="145" spans="1:17" ht="35.25" x14ac:dyDescent="0.5">
      <c r="A145" s="6">
        <v>1</v>
      </c>
      <c r="B145" s="91">
        <f>SUBTOTAL(103,$A$65:A145)</f>
        <v>74</v>
      </c>
      <c r="C145" s="119" t="s">
        <v>1509</v>
      </c>
      <c r="D145" s="115">
        <v>1981</v>
      </c>
      <c r="E145" s="115"/>
      <c r="F145" s="116" t="s">
        <v>319</v>
      </c>
      <c r="G145" s="115">
        <v>9</v>
      </c>
      <c r="H145" s="115">
        <v>4</v>
      </c>
      <c r="I145" s="101">
        <v>8838.4</v>
      </c>
      <c r="J145" s="101">
        <v>7825</v>
      </c>
      <c r="K145" s="101">
        <v>7353.9</v>
      </c>
      <c r="L145" s="117">
        <v>387</v>
      </c>
      <c r="M145" s="115" t="s">
        <v>275</v>
      </c>
      <c r="N145" s="118" t="s">
        <v>327</v>
      </c>
      <c r="O145" s="101">
        <v>381284.05</v>
      </c>
      <c r="P145" s="101">
        <f t="shared" si="3"/>
        <v>43.139487916364956</v>
      </c>
      <c r="Q145" s="101">
        <v>799.53839575036204</v>
      </c>
    </row>
    <row r="146" spans="1:17" ht="35.25" x14ac:dyDescent="0.5">
      <c r="A146" s="6">
        <v>1</v>
      </c>
      <c r="B146" s="91">
        <f>SUBTOTAL(103,$A$65:A146)</f>
        <v>75</v>
      </c>
      <c r="C146" s="119" t="s">
        <v>392</v>
      </c>
      <c r="D146" s="115">
        <v>1982</v>
      </c>
      <c r="E146" s="115"/>
      <c r="F146" s="116" t="s">
        <v>319</v>
      </c>
      <c r="G146" s="115">
        <v>9</v>
      </c>
      <c r="H146" s="115">
        <v>4</v>
      </c>
      <c r="I146" s="101">
        <v>8597</v>
      </c>
      <c r="J146" s="101">
        <v>7716.1</v>
      </c>
      <c r="K146" s="101">
        <v>7190.6</v>
      </c>
      <c r="L146" s="117">
        <v>399</v>
      </c>
      <c r="M146" s="115" t="s">
        <v>275</v>
      </c>
      <c r="N146" s="118" t="s">
        <v>327</v>
      </c>
      <c r="O146" s="101">
        <v>292385.17000000004</v>
      </c>
      <c r="P146" s="101">
        <f t="shared" si="3"/>
        <v>34.010139583575672</v>
      </c>
      <c r="Q146" s="101">
        <v>831.84440735140163</v>
      </c>
    </row>
    <row r="147" spans="1:17" ht="35.25" x14ac:dyDescent="0.5">
      <c r="A147" s="6">
        <v>1</v>
      </c>
      <c r="B147" s="91">
        <f>SUBTOTAL(103,$A$65:A147)</f>
        <v>76</v>
      </c>
      <c r="C147" s="119" t="s">
        <v>1510</v>
      </c>
      <c r="D147" s="115">
        <v>1983</v>
      </c>
      <c r="E147" s="115"/>
      <c r="F147" s="116" t="s">
        <v>319</v>
      </c>
      <c r="G147" s="115">
        <v>9</v>
      </c>
      <c r="H147" s="115">
        <v>4</v>
      </c>
      <c r="I147" s="101">
        <v>8601.7999999999993</v>
      </c>
      <c r="J147" s="101">
        <v>7730</v>
      </c>
      <c r="K147" s="101">
        <v>7318.9</v>
      </c>
      <c r="L147" s="117">
        <v>404</v>
      </c>
      <c r="M147" s="115" t="s">
        <v>275</v>
      </c>
      <c r="N147" s="118" t="s">
        <v>327</v>
      </c>
      <c r="O147" s="101">
        <v>292385.17000000004</v>
      </c>
      <c r="P147" s="101">
        <f t="shared" si="3"/>
        <v>33.991161152316963</v>
      </c>
      <c r="Q147" s="101">
        <v>830.69142040038139</v>
      </c>
    </row>
    <row r="148" spans="1:17" ht="35.25" x14ac:dyDescent="0.5">
      <c r="A148" s="6">
        <v>1</v>
      </c>
      <c r="B148" s="91">
        <f>SUBTOTAL(103,$A$65:A148)</f>
        <v>77</v>
      </c>
      <c r="C148" s="119" t="s">
        <v>1511</v>
      </c>
      <c r="D148" s="115">
        <v>1987</v>
      </c>
      <c r="E148" s="115"/>
      <c r="F148" s="116" t="s">
        <v>273</v>
      </c>
      <c r="G148" s="115">
        <v>12</v>
      </c>
      <c r="H148" s="115">
        <v>1</v>
      </c>
      <c r="I148" s="101">
        <v>4535.8</v>
      </c>
      <c r="J148" s="101">
        <v>3907.5</v>
      </c>
      <c r="K148" s="101">
        <v>3078</v>
      </c>
      <c r="L148" s="117">
        <v>448</v>
      </c>
      <c r="M148" s="115" t="s">
        <v>275</v>
      </c>
      <c r="N148" s="118" t="s">
        <v>327</v>
      </c>
      <c r="O148" s="101">
        <v>193920.28</v>
      </c>
      <c r="P148" s="101">
        <f t="shared" si="3"/>
        <v>42.753269544512541</v>
      </c>
      <c r="Q148" s="101">
        <v>674.8111702456016</v>
      </c>
    </row>
    <row r="149" spans="1:17" ht="35.25" x14ac:dyDescent="0.5">
      <c r="B149" s="114" t="s">
        <v>909</v>
      </c>
      <c r="C149" s="119"/>
      <c r="D149" s="115" t="s">
        <v>776</v>
      </c>
      <c r="E149" s="115" t="s">
        <v>776</v>
      </c>
      <c r="F149" s="116" t="s">
        <v>776</v>
      </c>
      <c r="G149" s="115" t="s">
        <v>776</v>
      </c>
      <c r="H149" s="115" t="s">
        <v>776</v>
      </c>
      <c r="I149" s="101">
        <f>I150+I151</f>
        <v>6959.2</v>
      </c>
      <c r="J149" s="101">
        <f>J150+J151</f>
        <v>6276.4</v>
      </c>
      <c r="K149" s="101">
        <f>K150+K151</f>
        <v>6276.4</v>
      </c>
      <c r="L149" s="117">
        <f>L150+L151</f>
        <v>259</v>
      </c>
      <c r="M149" s="115" t="s">
        <v>915</v>
      </c>
      <c r="N149" s="115" t="s">
        <v>915</v>
      </c>
      <c r="O149" s="101">
        <v>3231773.15</v>
      </c>
      <c r="P149" s="101">
        <f t="shared" si="3"/>
        <v>464.38860070123002</v>
      </c>
      <c r="Q149" s="101">
        <f>MAX(Q150:Q151)</f>
        <v>1386.8372248790045</v>
      </c>
    </row>
    <row r="150" spans="1:17" ht="35.25" x14ac:dyDescent="0.5">
      <c r="A150" s="6">
        <v>1</v>
      </c>
      <c r="B150" s="91">
        <f>SUBTOTAL(103,$A$65:A150)</f>
        <v>78</v>
      </c>
      <c r="C150" s="119" t="s">
        <v>1512</v>
      </c>
      <c r="D150" s="115">
        <v>1988</v>
      </c>
      <c r="E150" s="115"/>
      <c r="F150" s="116" t="s">
        <v>319</v>
      </c>
      <c r="G150" s="115">
        <v>5</v>
      </c>
      <c r="H150" s="115">
        <v>4</v>
      </c>
      <c r="I150" s="101">
        <v>3471.2</v>
      </c>
      <c r="J150" s="101">
        <v>3130.3</v>
      </c>
      <c r="K150" s="101">
        <v>3130.3</v>
      </c>
      <c r="L150" s="117">
        <v>113</v>
      </c>
      <c r="M150" s="115" t="s">
        <v>272</v>
      </c>
      <c r="N150" s="118" t="s">
        <v>274</v>
      </c>
      <c r="O150" s="101">
        <v>1617633.46</v>
      </c>
      <c r="P150" s="101">
        <f t="shared" si="3"/>
        <v>466.01563148190831</v>
      </c>
      <c r="Q150" s="101">
        <v>1386.8372248790045</v>
      </c>
    </row>
    <row r="151" spans="1:17" ht="35.25" x14ac:dyDescent="0.5">
      <c r="A151" s="6">
        <v>1</v>
      </c>
      <c r="B151" s="91">
        <f>SUBTOTAL(103,$A$65:A151)</f>
        <v>79</v>
      </c>
      <c r="C151" s="119" t="s">
        <v>1513</v>
      </c>
      <c r="D151" s="115">
        <v>1989</v>
      </c>
      <c r="E151" s="115"/>
      <c r="F151" s="116" t="s">
        <v>273</v>
      </c>
      <c r="G151" s="115">
        <v>5</v>
      </c>
      <c r="H151" s="115">
        <v>4</v>
      </c>
      <c r="I151" s="101">
        <v>3488</v>
      </c>
      <c r="J151" s="101">
        <v>3146.1</v>
      </c>
      <c r="K151" s="101">
        <v>3146.1</v>
      </c>
      <c r="L151" s="117">
        <v>146</v>
      </c>
      <c r="M151" s="115" t="s">
        <v>272</v>
      </c>
      <c r="N151" s="118" t="s">
        <v>274</v>
      </c>
      <c r="O151" s="101">
        <v>1614139.69</v>
      </c>
      <c r="P151" s="101">
        <f t="shared" si="3"/>
        <v>462.7694065366972</v>
      </c>
      <c r="Q151" s="101">
        <v>1380.1575043004586</v>
      </c>
    </row>
    <row r="152" spans="1:17" ht="35.25" x14ac:dyDescent="0.5">
      <c r="B152" s="114" t="s">
        <v>1446</v>
      </c>
      <c r="C152" s="119"/>
      <c r="D152" s="115" t="s">
        <v>776</v>
      </c>
      <c r="E152" s="115" t="s">
        <v>776</v>
      </c>
      <c r="F152" s="116" t="s">
        <v>776</v>
      </c>
      <c r="G152" s="115" t="s">
        <v>776</v>
      </c>
      <c r="H152" s="115" t="s">
        <v>776</v>
      </c>
      <c r="I152" s="101">
        <f>I153</f>
        <v>978.6</v>
      </c>
      <c r="J152" s="101">
        <f>J153</f>
        <v>880.3</v>
      </c>
      <c r="K152" s="101">
        <f>K153</f>
        <v>821.4</v>
      </c>
      <c r="L152" s="117">
        <f>L153</f>
        <v>30</v>
      </c>
      <c r="M152" s="115" t="s">
        <v>915</v>
      </c>
      <c r="N152" s="115" t="s">
        <v>915</v>
      </c>
      <c r="O152" s="101">
        <v>13131.869999999999</v>
      </c>
      <c r="P152" s="101">
        <f t="shared" si="3"/>
        <v>13.419037400367872</v>
      </c>
      <c r="Q152" s="101">
        <f>Q153</f>
        <v>2855.2907786633964</v>
      </c>
    </row>
    <row r="153" spans="1:17" ht="35.25" x14ac:dyDescent="0.5">
      <c r="A153" s="6">
        <v>1</v>
      </c>
      <c r="B153" s="91">
        <f>SUBTOTAL(103,$A$65:A153)</f>
        <v>80</v>
      </c>
      <c r="C153" s="119" t="s">
        <v>1514</v>
      </c>
      <c r="D153" s="115">
        <v>1985</v>
      </c>
      <c r="E153" s="115"/>
      <c r="F153" s="116" t="s">
        <v>319</v>
      </c>
      <c r="G153" s="115">
        <v>2</v>
      </c>
      <c r="H153" s="115">
        <v>2</v>
      </c>
      <c r="I153" s="101">
        <v>978.6</v>
      </c>
      <c r="J153" s="101">
        <v>880.3</v>
      </c>
      <c r="K153" s="101">
        <v>821.4</v>
      </c>
      <c r="L153" s="117">
        <v>30</v>
      </c>
      <c r="M153" s="115" t="s">
        <v>272</v>
      </c>
      <c r="N153" s="118" t="s">
        <v>274</v>
      </c>
      <c r="O153" s="101">
        <v>13131.869999999999</v>
      </c>
      <c r="P153" s="101">
        <f t="shared" si="3"/>
        <v>13.419037400367872</v>
      </c>
      <c r="Q153" s="101">
        <v>2855.2907786633964</v>
      </c>
    </row>
    <row r="154" spans="1:17" ht="35.25" x14ac:dyDescent="0.5">
      <c r="B154" s="114" t="s">
        <v>885</v>
      </c>
      <c r="C154" s="119"/>
      <c r="D154" s="115" t="s">
        <v>776</v>
      </c>
      <c r="E154" s="115" t="s">
        <v>776</v>
      </c>
      <c r="F154" s="116" t="s">
        <v>776</v>
      </c>
      <c r="G154" s="115" t="s">
        <v>776</v>
      </c>
      <c r="H154" s="115" t="s">
        <v>776</v>
      </c>
      <c r="I154" s="101">
        <f>I155</f>
        <v>3121</v>
      </c>
      <c r="J154" s="101">
        <f>J155</f>
        <v>1791</v>
      </c>
      <c r="K154" s="101">
        <f>K155</f>
        <v>1791</v>
      </c>
      <c r="L154" s="117">
        <f>L155</f>
        <v>171</v>
      </c>
      <c r="M154" s="115" t="s">
        <v>915</v>
      </c>
      <c r="N154" s="115" t="s">
        <v>915</v>
      </c>
      <c r="O154" s="101">
        <v>778244.79</v>
      </c>
      <c r="P154" s="101">
        <f t="shared" si="3"/>
        <v>249.35751041332907</v>
      </c>
      <c r="Q154" s="101">
        <f>Q155</f>
        <v>1846.1951217558474</v>
      </c>
    </row>
    <row r="155" spans="1:17" ht="35.25" x14ac:dyDescent="0.5">
      <c r="A155" s="6">
        <v>1</v>
      </c>
      <c r="B155" s="91">
        <f>SUBTOTAL(103,$A$65:A155)</f>
        <v>81</v>
      </c>
      <c r="C155" s="119" t="s">
        <v>1515</v>
      </c>
      <c r="D155" s="115">
        <v>1986</v>
      </c>
      <c r="E155" s="115"/>
      <c r="F155" s="116" t="s">
        <v>319</v>
      </c>
      <c r="G155" s="115">
        <v>5</v>
      </c>
      <c r="H155" s="115">
        <v>4</v>
      </c>
      <c r="I155" s="101">
        <v>3121</v>
      </c>
      <c r="J155" s="101">
        <v>1791</v>
      </c>
      <c r="K155" s="101">
        <v>1791</v>
      </c>
      <c r="L155" s="117">
        <v>171</v>
      </c>
      <c r="M155" s="115" t="s">
        <v>349</v>
      </c>
      <c r="N155" s="118" t="s">
        <v>1568</v>
      </c>
      <c r="O155" s="101">
        <v>778244.79</v>
      </c>
      <c r="P155" s="101">
        <f t="shared" si="3"/>
        <v>249.35751041332907</v>
      </c>
      <c r="Q155" s="101">
        <v>1846.1951217558474</v>
      </c>
    </row>
    <row r="156" spans="1:17" ht="35.25" x14ac:dyDescent="0.5">
      <c r="B156" s="114" t="s">
        <v>871</v>
      </c>
      <c r="C156" s="119"/>
      <c r="D156" s="115" t="s">
        <v>776</v>
      </c>
      <c r="E156" s="115" t="s">
        <v>776</v>
      </c>
      <c r="F156" s="116" t="s">
        <v>776</v>
      </c>
      <c r="G156" s="115" t="s">
        <v>776</v>
      </c>
      <c r="H156" s="115" t="s">
        <v>776</v>
      </c>
      <c r="I156" s="101">
        <f>I157+I158+I159+I160</f>
        <v>6289.82</v>
      </c>
      <c r="J156" s="101">
        <f>J157+J158+J159+J160</f>
        <v>5576.1399999999994</v>
      </c>
      <c r="K156" s="101">
        <f>K157+K158+K159+K160</f>
        <v>5336.24</v>
      </c>
      <c r="L156" s="117">
        <f>L157+L158+L159+L160</f>
        <v>266</v>
      </c>
      <c r="M156" s="115" t="s">
        <v>915</v>
      </c>
      <c r="N156" s="115" t="s">
        <v>915</v>
      </c>
      <c r="O156" s="101">
        <v>969598.97000000009</v>
      </c>
      <c r="P156" s="101">
        <f t="shared" si="3"/>
        <v>154.15369120260996</v>
      </c>
      <c r="Q156" s="101">
        <f>MAX(Q157:Q160)</f>
        <v>5371.8949547410593</v>
      </c>
    </row>
    <row r="157" spans="1:17" ht="35.25" x14ac:dyDescent="0.5">
      <c r="A157" s="6">
        <v>1</v>
      </c>
      <c r="B157" s="91">
        <f>SUBTOTAL(103,$A$65:A157)</f>
        <v>82</v>
      </c>
      <c r="C157" s="119" t="s">
        <v>1516</v>
      </c>
      <c r="D157" s="115">
        <v>1976</v>
      </c>
      <c r="E157" s="115"/>
      <c r="F157" s="116" t="s">
        <v>273</v>
      </c>
      <c r="G157" s="115">
        <v>5</v>
      </c>
      <c r="H157" s="115">
        <v>4</v>
      </c>
      <c r="I157" s="101">
        <v>3560.34</v>
      </c>
      <c r="J157" s="101">
        <v>3122.34</v>
      </c>
      <c r="K157" s="101">
        <f>J157-30.4</f>
        <v>3091.94</v>
      </c>
      <c r="L157" s="117">
        <v>145</v>
      </c>
      <c r="M157" s="115" t="s">
        <v>275</v>
      </c>
      <c r="N157" s="118" t="s">
        <v>1569</v>
      </c>
      <c r="O157" s="101">
        <v>672709.20000000007</v>
      </c>
      <c r="P157" s="101">
        <f t="shared" si="3"/>
        <v>188.94521309762553</v>
      </c>
      <c r="Q157" s="101">
        <v>1594.2476785924939</v>
      </c>
    </row>
    <row r="158" spans="1:17" ht="35.25" x14ac:dyDescent="0.5">
      <c r="A158" s="6">
        <v>1</v>
      </c>
      <c r="B158" s="91">
        <f>SUBTOTAL(103,$A$65:A158)</f>
        <v>83</v>
      </c>
      <c r="C158" s="119" t="s">
        <v>1517</v>
      </c>
      <c r="D158" s="115">
        <v>1958</v>
      </c>
      <c r="E158" s="115"/>
      <c r="F158" s="116" t="s">
        <v>273</v>
      </c>
      <c r="G158" s="115">
        <v>2</v>
      </c>
      <c r="H158" s="115">
        <v>2</v>
      </c>
      <c r="I158" s="101">
        <v>673.9</v>
      </c>
      <c r="J158" s="101">
        <v>615.9</v>
      </c>
      <c r="K158" s="101">
        <v>562.29999999999995</v>
      </c>
      <c r="L158" s="117">
        <v>32</v>
      </c>
      <c r="M158" s="115" t="s">
        <v>272</v>
      </c>
      <c r="N158" s="118" t="s">
        <v>274</v>
      </c>
      <c r="O158" s="101">
        <v>5758.94</v>
      </c>
      <c r="P158" s="101">
        <f t="shared" si="3"/>
        <v>8.5456892714052533</v>
      </c>
      <c r="Q158" s="101">
        <v>5371.8949547410593</v>
      </c>
    </row>
    <row r="159" spans="1:17" ht="35.25" x14ac:dyDescent="0.5">
      <c r="A159" s="6">
        <v>1</v>
      </c>
      <c r="B159" s="91">
        <f>SUBTOTAL(103,$A$65:A159)</f>
        <v>84</v>
      </c>
      <c r="C159" s="119" t="s">
        <v>1518</v>
      </c>
      <c r="D159" s="115">
        <v>1975</v>
      </c>
      <c r="E159" s="115"/>
      <c r="F159" s="116" t="s">
        <v>273</v>
      </c>
      <c r="G159" s="115">
        <v>2</v>
      </c>
      <c r="H159" s="115">
        <v>2</v>
      </c>
      <c r="I159" s="101">
        <v>768.5</v>
      </c>
      <c r="J159" s="101">
        <v>710</v>
      </c>
      <c r="K159" s="101">
        <v>655.20000000000005</v>
      </c>
      <c r="L159" s="117">
        <v>38</v>
      </c>
      <c r="M159" s="115" t="s">
        <v>272</v>
      </c>
      <c r="N159" s="118" t="s">
        <v>274</v>
      </c>
      <c r="O159" s="101">
        <v>233459.54</v>
      </c>
      <c r="P159" s="101">
        <f t="shared" si="3"/>
        <v>303.78599869876382</v>
      </c>
      <c r="Q159" s="101">
        <v>1474.0962706571243</v>
      </c>
    </row>
    <row r="160" spans="1:17" ht="35.25" x14ac:dyDescent="0.5">
      <c r="A160" s="6">
        <v>1</v>
      </c>
      <c r="B160" s="91">
        <f>SUBTOTAL(103,$A$65:A160)</f>
        <v>85</v>
      </c>
      <c r="C160" s="119" t="s">
        <v>1546</v>
      </c>
      <c r="D160" s="115">
        <v>1984</v>
      </c>
      <c r="E160" s="115"/>
      <c r="F160" s="116" t="s">
        <v>319</v>
      </c>
      <c r="G160" s="115">
        <v>4</v>
      </c>
      <c r="H160" s="115">
        <v>2</v>
      </c>
      <c r="I160" s="101">
        <v>1287.08</v>
      </c>
      <c r="J160" s="101">
        <v>1127.9000000000001</v>
      </c>
      <c r="K160" s="101">
        <v>1026.8</v>
      </c>
      <c r="L160" s="117">
        <v>51</v>
      </c>
      <c r="M160" s="115" t="s">
        <v>272</v>
      </c>
      <c r="N160" s="118" t="s">
        <v>274</v>
      </c>
      <c r="O160" s="101">
        <v>57671.29</v>
      </c>
      <c r="P160" s="101">
        <f t="shared" si="3"/>
        <v>44.807851881778916</v>
      </c>
      <c r="Q160" s="101">
        <v>2338.5137520589242</v>
      </c>
    </row>
    <row r="161" spans="1:17" ht="35.25" x14ac:dyDescent="0.5">
      <c r="B161" s="114" t="s">
        <v>895</v>
      </c>
      <c r="C161" s="119"/>
      <c r="D161" s="115" t="s">
        <v>776</v>
      </c>
      <c r="E161" s="115" t="s">
        <v>776</v>
      </c>
      <c r="F161" s="116" t="s">
        <v>776</v>
      </c>
      <c r="G161" s="115" t="s">
        <v>776</v>
      </c>
      <c r="H161" s="115" t="s">
        <v>776</v>
      </c>
      <c r="I161" s="101">
        <f>I162</f>
        <v>5085.1000000000004</v>
      </c>
      <c r="J161" s="101">
        <f>J162</f>
        <v>4673.5</v>
      </c>
      <c r="K161" s="101">
        <f>K162</f>
        <v>4551.8</v>
      </c>
      <c r="L161" s="117">
        <f>L162</f>
        <v>199</v>
      </c>
      <c r="M161" s="115" t="s">
        <v>915</v>
      </c>
      <c r="N161" s="115" t="s">
        <v>915</v>
      </c>
      <c r="O161" s="101">
        <v>425208.96</v>
      </c>
      <c r="P161" s="101">
        <f t="shared" si="3"/>
        <v>83.618603370631845</v>
      </c>
      <c r="Q161" s="101">
        <f>Q162</f>
        <v>1424.9798293052249</v>
      </c>
    </row>
    <row r="162" spans="1:17" ht="35.25" x14ac:dyDescent="0.5">
      <c r="A162" s="6">
        <v>1</v>
      </c>
      <c r="B162" s="91">
        <f>SUBTOTAL(103,$A$65:A162)</f>
        <v>86</v>
      </c>
      <c r="C162" s="119" t="s">
        <v>1519</v>
      </c>
      <c r="D162" s="115">
        <v>1982</v>
      </c>
      <c r="E162" s="115"/>
      <c r="F162" s="116" t="s">
        <v>319</v>
      </c>
      <c r="G162" s="115">
        <v>5</v>
      </c>
      <c r="H162" s="115">
        <v>6</v>
      </c>
      <c r="I162" s="101">
        <v>5085.1000000000004</v>
      </c>
      <c r="J162" s="101">
        <v>4673.5</v>
      </c>
      <c r="K162" s="101">
        <v>4551.8</v>
      </c>
      <c r="L162" s="117">
        <v>199</v>
      </c>
      <c r="M162" s="115" t="s">
        <v>349</v>
      </c>
      <c r="N162" s="118" t="s">
        <v>1570</v>
      </c>
      <c r="O162" s="101">
        <v>425208.96</v>
      </c>
      <c r="P162" s="101">
        <f t="shared" si="3"/>
        <v>83.618603370631845</v>
      </c>
      <c r="Q162" s="101">
        <v>1424.9798293052249</v>
      </c>
    </row>
    <row r="163" spans="1:17" ht="35.25" x14ac:dyDescent="0.5">
      <c r="B163" s="114" t="s">
        <v>856</v>
      </c>
      <c r="C163" s="119"/>
      <c r="D163" s="115" t="s">
        <v>776</v>
      </c>
      <c r="E163" s="115" t="s">
        <v>776</v>
      </c>
      <c r="F163" s="115" t="s">
        <v>776</v>
      </c>
      <c r="G163" s="115" t="s">
        <v>776</v>
      </c>
      <c r="H163" s="115" t="s">
        <v>776</v>
      </c>
      <c r="I163" s="101">
        <f>I164</f>
        <v>3387.86</v>
      </c>
      <c r="J163" s="101">
        <f>J164</f>
        <v>2034.29</v>
      </c>
      <c r="K163" s="101">
        <f>K164</f>
        <v>1015.36</v>
      </c>
      <c r="L163" s="117">
        <f>L164</f>
        <v>59</v>
      </c>
      <c r="M163" s="115" t="s">
        <v>915</v>
      </c>
      <c r="N163" s="115" t="s">
        <v>915</v>
      </c>
      <c r="O163" s="101">
        <v>354821.67</v>
      </c>
      <c r="P163" s="101">
        <f t="shared" si="3"/>
        <v>104.73327410223563</v>
      </c>
      <c r="Q163" s="101">
        <f>Q164</f>
        <v>1276.3217246285265</v>
      </c>
    </row>
    <row r="164" spans="1:17" ht="35.25" x14ac:dyDescent="0.5">
      <c r="A164" s="6">
        <v>1</v>
      </c>
      <c r="B164" s="91">
        <f>SUBTOTAL(103,$A$65:A164)</f>
        <v>87</v>
      </c>
      <c r="C164" s="119" t="s">
        <v>1520</v>
      </c>
      <c r="D164" s="115">
        <v>1967</v>
      </c>
      <c r="E164" s="115"/>
      <c r="F164" s="116" t="s">
        <v>273</v>
      </c>
      <c r="G164" s="115">
        <v>4</v>
      </c>
      <c r="H164" s="115">
        <v>3</v>
      </c>
      <c r="I164" s="101">
        <v>3387.86</v>
      </c>
      <c r="J164" s="101">
        <v>2034.29</v>
      </c>
      <c r="K164" s="101">
        <v>1015.36</v>
      </c>
      <c r="L164" s="117">
        <v>59</v>
      </c>
      <c r="M164" s="115" t="s">
        <v>275</v>
      </c>
      <c r="N164" s="118" t="s">
        <v>1336</v>
      </c>
      <c r="O164" s="101">
        <v>354821.67</v>
      </c>
      <c r="P164" s="101">
        <f t="shared" si="3"/>
        <v>104.73327410223563</v>
      </c>
      <c r="Q164" s="101">
        <v>1276.3217246285265</v>
      </c>
    </row>
    <row r="165" spans="1:17" ht="35.25" x14ac:dyDescent="0.5">
      <c r="B165" s="114" t="s">
        <v>1447</v>
      </c>
      <c r="C165" s="119"/>
      <c r="D165" s="115" t="s">
        <v>776</v>
      </c>
      <c r="E165" s="115" t="s">
        <v>776</v>
      </c>
      <c r="F165" s="116" t="s">
        <v>776</v>
      </c>
      <c r="G165" s="115" t="s">
        <v>776</v>
      </c>
      <c r="H165" s="115" t="s">
        <v>776</v>
      </c>
      <c r="I165" s="101">
        <f>I166+I167</f>
        <v>15972.619999999999</v>
      </c>
      <c r="J165" s="101">
        <f>J166+J167</f>
        <v>13085.72</v>
      </c>
      <c r="K165" s="101">
        <f>K166+K167</f>
        <v>12402.84</v>
      </c>
      <c r="L165" s="117">
        <f>L166+L167</f>
        <v>615</v>
      </c>
      <c r="M165" s="115" t="s">
        <v>915</v>
      </c>
      <c r="N165" s="115" t="s">
        <v>915</v>
      </c>
      <c r="O165" s="101">
        <v>1988549.43</v>
      </c>
      <c r="P165" s="101">
        <f t="shared" si="3"/>
        <v>124.49738552598134</v>
      </c>
      <c r="Q165" s="101">
        <f>MAX(Q166:Q167)</f>
        <v>1974.0640042815637</v>
      </c>
    </row>
    <row r="166" spans="1:17" ht="35.25" x14ac:dyDescent="0.5">
      <c r="A166" s="6">
        <v>1</v>
      </c>
      <c r="B166" s="91">
        <f>SUBTOTAL(103,$A$65:A166)</f>
        <v>88</v>
      </c>
      <c r="C166" s="119" t="s">
        <v>1521</v>
      </c>
      <c r="D166" s="115">
        <v>1989</v>
      </c>
      <c r="E166" s="115"/>
      <c r="F166" s="116" t="s">
        <v>273</v>
      </c>
      <c r="G166" s="115">
        <v>5</v>
      </c>
      <c r="H166" s="115">
        <v>12</v>
      </c>
      <c r="I166" s="101">
        <v>10086.92</v>
      </c>
      <c r="J166" s="101">
        <v>8329.2199999999993</v>
      </c>
      <c r="K166" s="101">
        <v>7734.54</v>
      </c>
      <c r="L166" s="117">
        <v>405</v>
      </c>
      <c r="M166" s="115" t="s">
        <v>275</v>
      </c>
      <c r="N166" s="118" t="s">
        <v>1571</v>
      </c>
      <c r="O166" s="101">
        <v>83534.5</v>
      </c>
      <c r="P166" s="101">
        <f t="shared" si="3"/>
        <v>8.2814674846236507</v>
      </c>
      <c r="Q166" s="101">
        <v>1633.3427088744629</v>
      </c>
    </row>
    <row r="167" spans="1:17" ht="35.25" x14ac:dyDescent="0.5">
      <c r="A167" s="6">
        <v>1</v>
      </c>
      <c r="B167" s="91">
        <f>SUBTOTAL(103,$A$65:A167)</f>
        <v>89</v>
      </c>
      <c r="C167" s="119" t="s">
        <v>1522</v>
      </c>
      <c r="D167" s="115">
        <v>1977</v>
      </c>
      <c r="E167" s="115"/>
      <c r="F167" s="116" t="s">
        <v>273</v>
      </c>
      <c r="G167" s="115">
        <v>5</v>
      </c>
      <c r="H167" s="115">
        <v>8</v>
      </c>
      <c r="I167" s="101">
        <v>5885.7</v>
      </c>
      <c r="J167" s="101">
        <v>4756.5</v>
      </c>
      <c r="K167" s="101">
        <v>4668.3</v>
      </c>
      <c r="L167" s="117">
        <v>210</v>
      </c>
      <c r="M167" s="115" t="s">
        <v>275</v>
      </c>
      <c r="N167" s="118" t="s">
        <v>1572</v>
      </c>
      <c r="O167" s="101">
        <v>1905014.93</v>
      </c>
      <c r="P167" s="101">
        <f t="shared" si="3"/>
        <v>323.66837079701651</v>
      </c>
      <c r="Q167" s="101">
        <v>1974.0640042815637</v>
      </c>
    </row>
    <row r="168" spans="1:17" ht="35.25" x14ac:dyDescent="0.5">
      <c r="B168" s="114" t="s">
        <v>908</v>
      </c>
      <c r="C168" s="119"/>
      <c r="D168" s="115" t="s">
        <v>776</v>
      </c>
      <c r="E168" s="115" t="s">
        <v>776</v>
      </c>
      <c r="F168" s="116" t="s">
        <v>776</v>
      </c>
      <c r="G168" s="115" t="s">
        <v>776</v>
      </c>
      <c r="H168" s="115" t="s">
        <v>776</v>
      </c>
      <c r="I168" s="101">
        <f>I169+I170</f>
        <v>2614.9</v>
      </c>
      <c r="J168" s="101">
        <f>J169+J170</f>
        <v>2360.9</v>
      </c>
      <c r="K168" s="101">
        <f>K169+K170</f>
        <v>1813.1</v>
      </c>
      <c r="L168" s="117">
        <f>L169+L170</f>
        <v>148</v>
      </c>
      <c r="M168" s="115" t="s">
        <v>915</v>
      </c>
      <c r="N168" s="115" t="s">
        <v>915</v>
      </c>
      <c r="O168" s="101">
        <v>582142.44999999995</v>
      </c>
      <c r="P168" s="101">
        <f t="shared" si="3"/>
        <v>222.62512906803317</v>
      </c>
      <c r="Q168" s="101">
        <f>MAX(Q169:Q170)</f>
        <v>5379.1001090909085</v>
      </c>
    </row>
    <row r="169" spans="1:17" ht="35.25" x14ac:dyDescent="0.5">
      <c r="A169" s="6">
        <v>1</v>
      </c>
      <c r="B169" s="91">
        <f>SUBTOTAL(103,$A$65:A169)</f>
        <v>90</v>
      </c>
      <c r="C169" s="119" t="s">
        <v>1523</v>
      </c>
      <c r="D169" s="115">
        <v>1961</v>
      </c>
      <c r="E169" s="115"/>
      <c r="F169" s="116" t="s">
        <v>273</v>
      </c>
      <c r="G169" s="115">
        <v>2</v>
      </c>
      <c r="H169" s="115">
        <v>3</v>
      </c>
      <c r="I169" s="101">
        <v>825</v>
      </c>
      <c r="J169" s="101">
        <v>769.5</v>
      </c>
      <c r="K169" s="101">
        <v>628.1</v>
      </c>
      <c r="L169" s="117">
        <v>57</v>
      </c>
      <c r="M169" s="115" t="s">
        <v>275</v>
      </c>
      <c r="N169" s="118" t="s">
        <v>1573</v>
      </c>
      <c r="O169" s="101">
        <v>551387.0199999999</v>
      </c>
      <c r="P169" s="101">
        <f t="shared" si="3"/>
        <v>668.34790303030286</v>
      </c>
      <c r="Q169" s="101">
        <v>5379.1001090909085</v>
      </c>
    </row>
    <row r="170" spans="1:17" ht="35.25" x14ac:dyDescent="0.5">
      <c r="A170" s="6">
        <v>1</v>
      </c>
      <c r="B170" s="91">
        <f>SUBTOTAL(103,$A$65:A170)</f>
        <v>91</v>
      </c>
      <c r="C170" s="119" t="s">
        <v>1524</v>
      </c>
      <c r="D170" s="115">
        <v>1985</v>
      </c>
      <c r="E170" s="115"/>
      <c r="F170" s="116" t="s">
        <v>273</v>
      </c>
      <c r="G170" s="115">
        <v>4</v>
      </c>
      <c r="H170" s="115">
        <v>2</v>
      </c>
      <c r="I170" s="101">
        <v>1789.9</v>
      </c>
      <c r="J170" s="101">
        <v>1591.4</v>
      </c>
      <c r="K170" s="101">
        <v>1185</v>
      </c>
      <c r="L170" s="117">
        <v>91</v>
      </c>
      <c r="M170" s="115" t="s">
        <v>275</v>
      </c>
      <c r="N170" s="118" t="s">
        <v>1573</v>
      </c>
      <c r="O170" s="101">
        <v>30755.429999999997</v>
      </c>
      <c r="P170" s="101">
        <f t="shared" si="3"/>
        <v>17.182764400245819</v>
      </c>
      <c r="Q170" s="101">
        <v>2329.7120833566119</v>
      </c>
    </row>
    <row r="171" spans="1:17" ht="35.25" x14ac:dyDescent="0.5">
      <c r="B171" s="114" t="s">
        <v>882</v>
      </c>
      <c r="C171" s="119"/>
      <c r="D171" s="115" t="s">
        <v>776</v>
      </c>
      <c r="E171" s="115" t="s">
        <v>776</v>
      </c>
      <c r="F171" s="116" t="s">
        <v>776</v>
      </c>
      <c r="G171" s="115" t="s">
        <v>776</v>
      </c>
      <c r="H171" s="115" t="s">
        <v>776</v>
      </c>
      <c r="I171" s="101">
        <f>I172</f>
        <v>677.1</v>
      </c>
      <c r="J171" s="101">
        <f>J172</f>
        <v>618.1</v>
      </c>
      <c r="K171" s="101">
        <f>K172</f>
        <v>363.3</v>
      </c>
      <c r="L171" s="117">
        <f>L172</f>
        <v>37</v>
      </c>
      <c r="M171" s="115" t="s">
        <v>915</v>
      </c>
      <c r="N171" s="115" t="s">
        <v>915</v>
      </c>
      <c r="O171" s="101">
        <v>39585</v>
      </c>
      <c r="P171" s="101">
        <f t="shared" si="3"/>
        <v>58.462560921577314</v>
      </c>
      <c r="Q171" s="101">
        <f>Q172</f>
        <v>4760.228976517501</v>
      </c>
    </row>
    <row r="172" spans="1:17" ht="35.25" x14ac:dyDescent="0.5">
      <c r="A172" s="6">
        <v>1</v>
      </c>
      <c r="B172" s="91">
        <f>SUBTOTAL(103,$A$65:A172)</f>
        <v>92</v>
      </c>
      <c r="C172" s="119" t="s">
        <v>1525</v>
      </c>
      <c r="D172" s="115">
        <v>1991</v>
      </c>
      <c r="E172" s="115"/>
      <c r="F172" s="116" t="s">
        <v>319</v>
      </c>
      <c r="G172" s="115">
        <v>2</v>
      </c>
      <c r="H172" s="115">
        <v>2</v>
      </c>
      <c r="I172" s="101">
        <v>677.1</v>
      </c>
      <c r="J172" s="101">
        <v>618.1</v>
      </c>
      <c r="K172" s="101">
        <v>363.3</v>
      </c>
      <c r="L172" s="117">
        <v>37</v>
      </c>
      <c r="M172" s="115" t="s">
        <v>272</v>
      </c>
      <c r="N172" s="118" t="s">
        <v>274</v>
      </c>
      <c r="O172" s="101">
        <v>39585</v>
      </c>
      <c r="P172" s="101">
        <f t="shared" si="3"/>
        <v>58.462560921577314</v>
      </c>
      <c r="Q172" s="101">
        <v>4760.228976517501</v>
      </c>
    </row>
    <row r="173" spans="1:17" ht="35.25" x14ac:dyDescent="0.5">
      <c r="B173" s="114" t="s">
        <v>850</v>
      </c>
      <c r="C173" s="119"/>
      <c r="D173" s="115" t="s">
        <v>776</v>
      </c>
      <c r="E173" s="115" t="s">
        <v>776</v>
      </c>
      <c r="F173" s="116" t="s">
        <v>776</v>
      </c>
      <c r="G173" s="115" t="s">
        <v>776</v>
      </c>
      <c r="H173" s="115" t="s">
        <v>776</v>
      </c>
      <c r="I173" s="101">
        <f>I174</f>
        <v>805.6</v>
      </c>
      <c r="J173" s="101">
        <f>J174</f>
        <v>744.2</v>
      </c>
      <c r="K173" s="101">
        <f>K174</f>
        <v>701.4</v>
      </c>
      <c r="L173" s="117">
        <f>L174</f>
        <v>44</v>
      </c>
      <c r="M173" s="115" t="s">
        <v>915</v>
      </c>
      <c r="N173" s="115" t="s">
        <v>915</v>
      </c>
      <c r="O173" s="101">
        <v>275468.56</v>
      </c>
      <c r="P173" s="101">
        <f t="shared" si="3"/>
        <v>341.94210526315788</v>
      </c>
      <c r="Q173" s="101">
        <f>Q174</f>
        <v>5207.0956802383316</v>
      </c>
    </row>
    <row r="174" spans="1:17" ht="35.25" x14ac:dyDescent="0.5">
      <c r="A174" s="6">
        <v>1</v>
      </c>
      <c r="B174" s="91">
        <f>SUBTOTAL(103,$A$65:A174)</f>
        <v>93</v>
      </c>
      <c r="C174" s="119" t="s">
        <v>1526</v>
      </c>
      <c r="D174" s="115">
        <v>1969</v>
      </c>
      <c r="E174" s="115"/>
      <c r="F174" s="116" t="s">
        <v>273</v>
      </c>
      <c r="G174" s="115">
        <v>2</v>
      </c>
      <c r="H174" s="115">
        <v>2</v>
      </c>
      <c r="I174" s="101">
        <v>805.6</v>
      </c>
      <c r="J174" s="101">
        <v>744.2</v>
      </c>
      <c r="K174" s="101">
        <v>701.4</v>
      </c>
      <c r="L174" s="117">
        <v>44</v>
      </c>
      <c r="M174" s="115" t="s">
        <v>272</v>
      </c>
      <c r="N174" s="118" t="s">
        <v>274</v>
      </c>
      <c r="O174" s="101">
        <v>275468.56</v>
      </c>
      <c r="P174" s="101">
        <f t="shared" si="3"/>
        <v>341.94210526315788</v>
      </c>
      <c r="Q174" s="101">
        <v>5207.0956802383316</v>
      </c>
    </row>
    <row r="175" spans="1:17" ht="35.25" x14ac:dyDescent="0.5">
      <c r="B175" s="114" t="s">
        <v>877</v>
      </c>
      <c r="C175" s="119"/>
      <c r="D175" s="115" t="s">
        <v>776</v>
      </c>
      <c r="E175" s="115" t="s">
        <v>776</v>
      </c>
      <c r="F175" s="116" t="s">
        <v>776</v>
      </c>
      <c r="G175" s="115" t="s">
        <v>776</v>
      </c>
      <c r="H175" s="115" t="s">
        <v>776</v>
      </c>
      <c r="I175" s="101">
        <f>I176+I177+I178</f>
        <v>12931.86</v>
      </c>
      <c r="J175" s="101">
        <f>J176+J177+J178</f>
        <v>8229.4599999999991</v>
      </c>
      <c r="K175" s="101">
        <f>K176+K177+K178</f>
        <v>6014.5399999999991</v>
      </c>
      <c r="L175" s="117">
        <f>L176+L177+L178</f>
        <v>621</v>
      </c>
      <c r="M175" s="115" t="s">
        <v>915</v>
      </c>
      <c r="N175" s="115" t="s">
        <v>915</v>
      </c>
      <c r="O175" s="101">
        <v>274179.65000000002</v>
      </c>
      <c r="P175" s="101">
        <f t="shared" si="3"/>
        <v>21.201872739111003</v>
      </c>
      <c r="Q175" s="101">
        <f>MAX(Q176:Q178)</f>
        <v>5362.4769625440267</v>
      </c>
    </row>
    <row r="176" spans="1:17" ht="35.25" x14ac:dyDescent="0.5">
      <c r="A176" s="6">
        <v>1</v>
      </c>
      <c r="B176" s="91">
        <f>SUBTOTAL(103,$A$65:A176)</f>
        <v>94</v>
      </c>
      <c r="C176" s="119" t="s">
        <v>1527</v>
      </c>
      <c r="D176" s="115">
        <v>1984</v>
      </c>
      <c r="E176" s="115"/>
      <c r="F176" s="116" t="s">
        <v>319</v>
      </c>
      <c r="G176" s="115">
        <v>5</v>
      </c>
      <c r="H176" s="115">
        <v>6</v>
      </c>
      <c r="I176" s="101">
        <v>6737.77</v>
      </c>
      <c r="J176" s="101">
        <v>4669.7</v>
      </c>
      <c r="K176" s="101">
        <v>4492.3999999999996</v>
      </c>
      <c r="L176" s="117">
        <v>246</v>
      </c>
      <c r="M176" s="115" t="s">
        <v>275</v>
      </c>
      <c r="N176" s="118" t="s">
        <v>1384</v>
      </c>
      <c r="O176" s="101">
        <v>82303.180000000008</v>
      </c>
      <c r="P176" s="101">
        <f t="shared" si="3"/>
        <v>12.215195828887007</v>
      </c>
      <c r="Q176" s="101">
        <v>1095.1520924578904</v>
      </c>
    </row>
    <row r="177" spans="1:17" ht="35.25" x14ac:dyDescent="0.5">
      <c r="A177" s="6">
        <v>1</v>
      </c>
      <c r="B177" s="91">
        <f>SUBTOTAL(103,$A$65:A177)</f>
        <v>95</v>
      </c>
      <c r="C177" s="119" t="s">
        <v>1528</v>
      </c>
      <c r="D177" s="115">
        <v>1976</v>
      </c>
      <c r="E177" s="115"/>
      <c r="F177" s="116" t="s">
        <v>273</v>
      </c>
      <c r="G177" s="115">
        <v>2</v>
      </c>
      <c r="H177" s="115">
        <v>2</v>
      </c>
      <c r="I177" s="101">
        <v>590.55999999999995</v>
      </c>
      <c r="J177" s="101">
        <v>553.66</v>
      </c>
      <c r="K177" s="101">
        <v>414.9</v>
      </c>
      <c r="L177" s="117">
        <v>34</v>
      </c>
      <c r="M177" s="115" t="s">
        <v>275</v>
      </c>
      <c r="N177" s="118" t="s">
        <v>300</v>
      </c>
      <c r="O177" s="101">
        <v>13519.03</v>
      </c>
      <c r="P177" s="101">
        <f t="shared" si="3"/>
        <v>22.891882281224603</v>
      </c>
      <c r="Q177" s="101">
        <v>5362.4769625440267</v>
      </c>
    </row>
    <row r="178" spans="1:17" ht="35.25" x14ac:dyDescent="0.5">
      <c r="A178" s="6">
        <v>1</v>
      </c>
      <c r="B178" s="91">
        <f>SUBTOTAL(103,$A$65:A178)</f>
        <v>96</v>
      </c>
      <c r="C178" s="119" t="s">
        <v>1529</v>
      </c>
      <c r="D178" s="115">
        <v>1975</v>
      </c>
      <c r="E178" s="115">
        <v>2010</v>
      </c>
      <c r="F178" s="116" t="s">
        <v>273</v>
      </c>
      <c r="G178" s="115">
        <v>5</v>
      </c>
      <c r="H178" s="115">
        <v>1</v>
      </c>
      <c r="I178" s="101">
        <v>5603.53</v>
      </c>
      <c r="J178" s="101">
        <v>3006.1</v>
      </c>
      <c r="K178" s="101">
        <v>1107.24</v>
      </c>
      <c r="L178" s="117">
        <v>341</v>
      </c>
      <c r="M178" s="115" t="s">
        <v>272</v>
      </c>
      <c r="N178" s="118" t="s">
        <v>274</v>
      </c>
      <c r="O178" s="101">
        <v>178357.44</v>
      </c>
      <c r="P178" s="101">
        <f t="shared" si="3"/>
        <v>31.829478917753633</v>
      </c>
      <c r="Q178" s="101">
        <v>2753.19</v>
      </c>
    </row>
    <row r="179" spans="1:17" ht="35.25" x14ac:dyDescent="0.5">
      <c r="B179" s="114" t="s">
        <v>1318</v>
      </c>
      <c r="C179" s="119"/>
      <c r="D179" s="115" t="s">
        <v>776</v>
      </c>
      <c r="E179" s="115" t="s">
        <v>776</v>
      </c>
      <c r="F179" s="116" t="s">
        <v>776</v>
      </c>
      <c r="G179" s="115" t="s">
        <v>776</v>
      </c>
      <c r="H179" s="115" t="s">
        <v>776</v>
      </c>
      <c r="I179" s="101">
        <f>I180</f>
        <v>418.1</v>
      </c>
      <c r="J179" s="101">
        <f>J180</f>
        <v>377.6</v>
      </c>
      <c r="K179" s="101">
        <f>K180</f>
        <v>284.3</v>
      </c>
      <c r="L179" s="117">
        <f>L180</f>
        <v>12</v>
      </c>
      <c r="M179" s="115" t="s">
        <v>915</v>
      </c>
      <c r="N179" s="115" t="s">
        <v>915</v>
      </c>
      <c r="O179" s="101">
        <v>222776.05000000002</v>
      </c>
      <c r="P179" s="101">
        <f t="shared" si="3"/>
        <v>532.82958622339152</v>
      </c>
      <c r="Q179" s="101">
        <f>Q180</f>
        <v>8391.721143027984</v>
      </c>
    </row>
    <row r="180" spans="1:17" ht="35.25" x14ac:dyDescent="0.5">
      <c r="A180" s="6">
        <v>1</v>
      </c>
      <c r="B180" s="91">
        <f>SUBTOTAL(103,$A$65:A180)</f>
        <v>97</v>
      </c>
      <c r="C180" s="119" t="s">
        <v>1530</v>
      </c>
      <c r="D180" s="115">
        <v>1987</v>
      </c>
      <c r="E180" s="115"/>
      <c r="F180" s="116" t="s">
        <v>273</v>
      </c>
      <c r="G180" s="115">
        <v>2</v>
      </c>
      <c r="H180" s="115">
        <v>2</v>
      </c>
      <c r="I180" s="101">
        <v>418.1</v>
      </c>
      <c r="J180" s="101">
        <v>377.6</v>
      </c>
      <c r="K180" s="101">
        <v>284.3</v>
      </c>
      <c r="L180" s="117">
        <v>12</v>
      </c>
      <c r="M180" s="115" t="s">
        <v>272</v>
      </c>
      <c r="N180" s="118" t="s">
        <v>274</v>
      </c>
      <c r="O180" s="101">
        <v>222776.05000000002</v>
      </c>
      <c r="P180" s="101">
        <f t="shared" si="3"/>
        <v>532.82958622339152</v>
      </c>
      <c r="Q180" s="101">
        <v>8391.721143027984</v>
      </c>
    </row>
    <row r="181" spans="1:17" ht="35.25" x14ac:dyDescent="0.5">
      <c r="B181" s="114" t="s">
        <v>873</v>
      </c>
      <c r="C181" s="119"/>
      <c r="D181" s="115" t="s">
        <v>776</v>
      </c>
      <c r="E181" s="115" t="s">
        <v>776</v>
      </c>
      <c r="F181" s="116" t="s">
        <v>776</v>
      </c>
      <c r="G181" s="115" t="s">
        <v>776</v>
      </c>
      <c r="H181" s="115" t="s">
        <v>776</v>
      </c>
      <c r="I181" s="101">
        <f>I182</f>
        <v>344.6</v>
      </c>
      <c r="J181" s="101">
        <f>J182</f>
        <v>312.2</v>
      </c>
      <c r="K181" s="101">
        <f>K182</f>
        <v>312.2</v>
      </c>
      <c r="L181" s="117">
        <f>L182</f>
        <v>15</v>
      </c>
      <c r="M181" s="115" t="s">
        <v>915</v>
      </c>
      <c r="N181" s="115" t="s">
        <v>915</v>
      </c>
      <c r="O181" s="101">
        <v>137665.16</v>
      </c>
      <c r="P181" s="101">
        <f t="shared" si="3"/>
        <v>399.49262913522921</v>
      </c>
      <c r="Q181" s="101">
        <f>Q182</f>
        <v>7736.2705142193836</v>
      </c>
    </row>
    <row r="182" spans="1:17" ht="35.25" x14ac:dyDescent="0.5">
      <c r="A182" s="6">
        <v>1</v>
      </c>
      <c r="B182" s="91">
        <f>SUBTOTAL(103,$A$65:A182)</f>
        <v>98</v>
      </c>
      <c r="C182" s="119" t="s">
        <v>1531</v>
      </c>
      <c r="D182" s="115">
        <v>1975</v>
      </c>
      <c r="E182" s="115"/>
      <c r="F182" s="116" t="s">
        <v>273</v>
      </c>
      <c r="G182" s="115">
        <v>2</v>
      </c>
      <c r="H182" s="115">
        <v>1</v>
      </c>
      <c r="I182" s="101">
        <v>344.6</v>
      </c>
      <c r="J182" s="101">
        <v>312.2</v>
      </c>
      <c r="K182" s="101">
        <v>312.2</v>
      </c>
      <c r="L182" s="117">
        <v>15</v>
      </c>
      <c r="M182" s="115" t="s">
        <v>272</v>
      </c>
      <c r="N182" s="118" t="s">
        <v>274</v>
      </c>
      <c r="O182" s="101">
        <v>137665.16</v>
      </c>
      <c r="P182" s="101">
        <f t="shared" si="3"/>
        <v>399.49262913522921</v>
      </c>
      <c r="Q182" s="101">
        <v>7736.2705142193836</v>
      </c>
    </row>
    <row r="183" spans="1:17" ht="35.25" x14ac:dyDescent="0.5">
      <c r="B183" s="114" t="s">
        <v>861</v>
      </c>
      <c r="C183" s="119"/>
      <c r="D183" s="115" t="s">
        <v>776</v>
      </c>
      <c r="E183" s="115" t="s">
        <v>776</v>
      </c>
      <c r="F183" s="116" t="s">
        <v>776</v>
      </c>
      <c r="G183" s="115" t="s">
        <v>776</v>
      </c>
      <c r="H183" s="115" t="s">
        <v>776</v>
      </c>
      <c r="I183" s="101">
        <f>I184</f>
        <v>3508.9</v>
      </c>
      <c r="J183" s="101">
        <f>J184</f>
        <v>3167.7</v>
      </c>
      <c r="K183" s="101">
        <f>K184</f>
        <v>2665.2</v>
      </c>
      <c r="L183" s="117">
        <f>L184</f>
        <v>145</v>
      </c>
      <c r="M183" s="115" t="s">
        <v>915</v>
      </c>
      <c r="N183" s="115" t="s">
        <v>915</v>
      </c>
      <c r="O183" s="101">
        <v>1114586.8</v>
      </c>
      <c r="P183" s="101">
        <f t="shared" si="3"/>
        <v>317.64564393399644</v>
      </c>
      <c r="Q183" s="101">
        <f>Q184</f>
        <v>675.41508734931176</v>
      </c>
    </row>
    <row r="184" spans="1:17" ht="35.25" x14ac:dyDescent="0.5">
      <c r="A184" s="6">
        <v>1</v>
      </c>
      <c r="B184" s="91">
        <f>SUBTOTAL(103,$A$65:A184)</f>
        <v>99</v>
      </c>
      <c r="C184" s="119" t="s">
        <v>1532</v>
      </c>
      <c r="D184" s="115">
        <v>1987</v>
      </c>
      <c r="E184" s="115"/>
      <c r="F184" s="116" t="s">
        <v>319</v>
      </c>
      <c r="G184" s="115">
        <v>5</v>
      </c>
      <c r="H184" s="115">
        <v>4</v>
      </c>
      <c r="I184" s="101">
        <v>3508.9</v>
      </c>
      <c r="J184" s="101">
        <v>3167.7</v>
      </c>
      <c r="K184" s="101">
        <v>2665.2</v>
      </c>
      <c r="L184" s="117">
        <v>145</v>
      </c>
      <c r="M184" s="115" t="s">
        <v>272</v>
      </c>
      <c r="N184" s="118" t="s">
        <v>274</v>
      </c>
      <c r="O184" s="101">
        <v>1114586.8</v>
      </c>
      <c r="P184" s="101">
        <f t="shared" si="3"/>
        <v>317.64564393399644</v>
      </c>
      <c r="Q184" s="101">
        <v>675.41508734931176</v>
      </c>
    </row>
    <row r="185" spans="1:17" ht="35.25" x14ac:dyDescent="0.5">
      <c r="B185" s="114" t="s">
        <v>866</v>
      </c>
      <c r="C185" s="119"/>
      <c r="D185" s="115" t="s">
        <v>776</v>
      </c>
      <c r="E185" s="115" t="s">
        <v>776</v>
      </c>
      <c r="F185" s="116" t="s">
        <v>776</v>
      </c>
      <c r="G185" s="115" t="s">
        <v>776</v>
      </c>
      <c r="H185" s="115" t="s">
        <v>776</v>
      </c>
      <c r="I185" s="101">
        <f>I186</f>
        <v>719.4</v>
      </c>
      <c r="J185" s="101">
        <f>J186</f>
        <v>531.6</v>
      </c>
      <c r="K185" s="101">
        <f>K186</f>
        <v>471.6</v>
      </c>
      <c r="L185" s="117">
        <f>L186</f>
        <v>30</v>
      </c>
      <c r="M185" s="115" t="s">
        <v>915</v>
      </c>
      <c r="N185" s="115" t="s">
        <v>915</v>
      </c>
      <c r="O185" s="101">
        <v>40586.949999999997</v>
      </c>
      <c r="P185" s="101">
        <f t="shared" si="3"/>
        <v>56.41777870447595</v>
      </c>
      <c r="Q185" s="101">
        <f>Q186</f>
        <v>5361.5741034195162</v>
      </c>
    </row>
    <row r="186" spans="1:17" ht="35.25" x14ac:dyDescent="0.5">
      <c r="A186" s="6">
        <v>1</v>
      </c>
      <c r="B186" s="91">
        <f>SUBTOTAL(103,$A$65:A186)</f>
        <v>100</v>
      </c>
      <c r="C186" s="119" t="s">
        <v>1533</v>
      </c>
      <c r="D186" s="115">
        <v>1975</v>
      </c>
      <c r="E186" s="115"/>
      <c r="F186" s="116" t="s">
        <v>273</v>
      </c>
      <c r="G186" s="115">
        <v>2</v>
      </c>
      <c r="H186" s="115">
        <v>2</v>
      </c>
      <c r="I186" s="101">
        <v>719.4</v>
      </c>
      <c r="J186" s="101">
        <v>531.6</v>
      </c>
      <c r="K186" s="101">
        <v>471.6</v>
      </c>
      <c r="L186" s="117">
        <v>30</v>
      </c>
      <c r="M186" s="115" t="s">
        <v>272</v>
      </c>
      <c r="N186" s="118" t="s">
        <v>274</v>
      </c>
      <c r="O186" s="101">
        <v>40586.949999999997</v>
      </c>
      <c r="P186" s="101">
        <f t="shared" si="3"/>
        <v>56.41777870447595</v>
      </c>
      <c r="Q186" s="101">
        <v>5361.5741034195162</v>
      </c>
    </row>
    <row r="187" spans="1:17" ht="35.25" x14ac:dyDescent="0.5">
      <c r="B187" s="114" t="s">
        <v>881</v>
      </c>
      <c r="C187" s="119"/>
      <c r="D187" s="115" t="s">
        <v>776</v>
      </c>
      <c r="E187" s="115" t="s">
        <v>776</v>
      </c>
      <c r="F187" s="116" t="s">
        <v>776</v>
      </c>
      <c r="G187" s="115" t="s">
        <v>776</v>
      </c>
      <c r="H187" s="115" t="s">
        <v>776</v>
      </c>
      <c r="I187" s="101">
        <f>I188</f>
        <v>930</v>
      </c>
      <c r="J187" s="101">
        <f>J188</f>
        <v>857.4</v>
      </c>
      <c r="K187" s="101">
        <f>K188</f>
        <v>561.4</v>
      </c>
      <c r="L187" s="117">
        <f>L188</f>
        <v>45</v>
      </c>
      <c r="M187" s="115" t="s">
        <v>915</v>
      </c>
      <c r="N187" s="115" t="s">
        <v>915</v>
      </c>
      <c r="O187" s="101">
        <v>39622.869999999995</v>
      </c>
      <c r="P187" s="101">
        <f t="shared" si="3"/>
        <v>42.605236559139783</v>
      </c>
      <c r="Q187" s="101">
        <f>Q188</f>
        <v>4854.6036774193544</v>
      </c>
    </row>
    <row r="188" spans="1:17" ht="35.25" x14ac:dyDescent="0.5">
      <c r="A188" s="6">
        <v>1</v>
      </c>
      <c r="B188" s="91">
        <f>SUBTOTAL(103,$A$65:A188)</f>
        <v>101</v>
      </c>
      <c r="C188" s="119" t="s">
        <v>1534</v>
      </c>
      <c r="D188" s="115">
        <v>1973</v>
      </c>
      <c r="E188" s="115"/>
      <c r="F188" s="116" t="s">
        <v>273</v>
      </c>
      <c r="G188" s="115">
        <v>2</v>
      </c>
      <c r="H188" s="115">
        <v>3</v>
      </c>
      <c r="I188" s="101">
        <v>930</v>
      </c>
      <c r="J188" s="101">
        <v>857.4</v>
      </c>
      <c r="K188" s="101">
        <v>561.4</v>
      </c>
      <c r="L188" s="117">
        <v>45</v>
      </c>
      <c r="M188" s="115" t="s">
        <v>275</v>
      </c>
      <c r="N188" s="118" t="s">
        <v>286</v>
      </c>
      <c r="O188" s="101">
        <v>39622.869999999995</v>
      </c>
      <c r="P188" s="101">
        <f t="shared" si="3"/>
        <v>42.605236559139783</v>
      </c>
      <c r="Q188" s="101">
        <v>4854.6036774193544</v>
      </c>
    </row>
    <row r="189" spans="1:17" ht="35.25" x14ac:dyDescent="0.5">
      <c r="B189" s="114" t="s">
        <v>859</v>
      </c>
      <c r="C189" s="119"/>
      <c r="D189" s="115" t="s">
        <v>776</v>
      </c>
      <c r="E189" s="115" t="s">
        <v>776</v>
      </c>
      <c r="F189" s="116" t="s">
        <v>776</v>
      </c>
      <c r="G189" s="115" t="s">
        <v>776</v>
      </c>
      <c r="H189" s="115" t="s">
        <v>776</v>
      </c>
      <c r="I189" s="101">
        <f>I190</f>
        <v>3791.9</v>
      </c>
      <c r="J189" s="101">
        <f>J190</f>
        <v>3527</v>
      </c>
      <c r="K189" s="101">
        <f>K190</f>
        <v>3291.3</v>
      </c>
      <c r="L189" s="117">
        <f>L190</f>
        <v>155</v>
      </c>
      <c r="M189" s="115" t="s">
        <v>915</v>
      </c>
      <c r="N189" s="115" t="s">
        <v>915</v>
      </c>
      <c r="O189" s="101">
        <v>8028.65</v>
      </c>
      <c r="P189" s="101">
        <f t="shared" si="3"/>
        <v>2.1173158574856932</v>
      </c>
      <c r="Q189" s="101">
        <f>Q190</f>
        <v>1533.7671499775838</v>
      </c>
    </row>
    <row r="190" spans="1:17" ht="35.25" x14ac:dyDescent="0.5">
      <c r="A190" s="6">
        <v>1</v>
      </c>
      <c r="B190" s="91">
        <f>SUBTOTAL(103,$A$65:A190)</f>
        <v>102</v>
      </c>
      <c r="C190" s="119" t="s">
        <v>1542</v>
      </c>
      <c r="D190" s="115">
        <v>1973</v>
      </c>
      <c r="E190" s="115" t="s">
        <v>1574</v>
      </c>
      <c r="F190" s="116" t="s">
        <v>319</v>
      </c>
      <c r="G190" s="115">
        <v>5</v>
      </c>
      <c r="H190" s="115">
        <v>4</v>
      </c>
      <c r="I190" s="101">
        <v>3791.9</v>
      </c>
      <c r="J190" s="101">
        <v>3527</v>
      </c>
      <c r="K190" s="101">
        <v>3291.3</v>
      </c>
      <c r="L190" s="117">
        <v>155</v>
      </c>
      <c r="M190" s="115" t="s">
        <v>275</v>
      </c>
      <c r="N190" s="118" t="s">
        <v>835</v>
      </c>
      <c r="O190" s="101">
        <v>8028.65</v>
      </c>
      <c r="P190" s="101">
        <f t="shared" si="3"/>
        <v>2.1173158574856932</v>
      </c>
      <c r="Q190" s="101">
        <v>1533.7671499775838</v>
      </c>
    </row>
    <row r="191" spans="1:17" ht="35.25" x14ac:dyDescent="0.5">
      <c r="B191" s="114" t="s">
        <v>864</v>
      </c>
      <c r="C191" s="119"/>
      <c r="D191" s="115" t="s">
        <v>776</v>
      </c>
      <c r="E191" s="115" t="s">
        <v>776</v>
      </c>
      <c r="F191" s="116" t="s">
        <v>776</v>
      </c>
      <c r="G191" s="115" t="s">
        <v>776</v>
      </c>
      <c r="H191" s="115" t="s">
        <v>776</v>
      </c>
      <c r="I191" s="101">
        <f>I192+I193</f>
        <v>1000</v>
      </c>
      <c r="J191" s="101">
        <f>J192+J193</f>
        <v>897</v>
      </c>
      <c r="K191" s="101">
        <f>K192+K193</f>
        <v>578</v>
      </c>
      <c r="L191" s="117">
        <f>L192+L193</f>
        <v>54</v>
      </c>
      <c r="M191" s="115" t="s">
        <v>915</v>
      </c>
      <c r="N191" s="115" t="s">
        <v>915</v>
      </c>
      <c r="O191" s="101">
        <v>180508.62</v>
      </c>
      <c r="P191" s="101">
        <f t="shared" si="3"/>
        <v>180.50862000000001</v>
      </c>
      <c r="Q191" s="101">
        <f>MAX(Q192:Q193)</f>
        <v>5651.4526153846155</v>
      </c>
    </row>
    <row r="192" spans="1:17" ht="35.25" x14ac:dyDescent="0.5">
      <c r="A192" s="6">
        <v>1</v>
      </c>
      <c r="B192" s="91">
        <f>SUBTOTAL(103,$A$65:A192)</f>
        <v>103</v>
      </c>
      <c r="C192" s="119" t="s">
        <v>1543</v>
      </c>
      <c r="D192" s="115">
        <v>1967</v>
      </c>
      <c r="E192" s="115"/>
      <c r="F192" s="116" t="s">
        <v>273</v>
      </c>
      <c r="G192" s="115">
        <v>2</v>
      </c>
      <c r="H192" s="115">
        <v>2</v>
      </c>
      <c r="I192" s="101">
        <v>610</v>
      </c>
      <c r="J192" s="101">
        <v>558</v>
      </c>
      <c r="K192" s="101">
        <v>380.7</v>
      </c>
      <c r="L192" s="117">
        <v>33</v>
      </c>
      <c r="M192" s="115" t="s">
        <v>272</v>
      </c>
      <c r="N192" s="118" t="s">
        <v>274</v>
      </c>
      <c r="O192" s="101">
        <v>103408.2</v>
      </c>
      <c r="P192" s="101">
        <f>O192/I192</f>
        <v>169.5216393442623</v>
      </c>
      <c r="Q192" s="101">
        <v>5604.3820819672128</v>
      </c>
    </row>
    <row r="193" spans="1:17" ht="35.25" x14ac:dyDescent="0.5">
      <c r="A193" s="6">
        <v>1</v>
      </c>
      <c r="B193" s="91">
        <f>SUBTOTAL(103,$A$65:A193)</f>
        <v>104</v>
      </c>
      <c r="C193" s="119" t="s">
        <v>1544</v>
      </c>
      <c r="D193" s="115">
        <v>1965</v>
      </c>
      <c r="E193" s="115"/>
      <c r="F193" s="116" t="s">
        <v>273</v>
      </c>
      <c r="G193" s="115">
        <v>2</v>
      </c>
      <c r="H193" s="115">
        <v>2</v>
      </c>
      <c r="I193" s="101">
        <v>390</v>
      </c>
      <c r="J193" s="101">
        <v>339</v>
      </c>
      <c r="K193" s="101">
        <v>197.3</v>
      </c>
      <c r="L193" s="117">
        <v>21</v>
      </c>
      <c r="M193" s="115" t="s">
        <v>272</v>
      </c>
      <c r="N193" s="118" t="s">
        <v>274</v>
      </c>
      <c r="O193" s="101">
        <v>77100.42</v>
      </c>
      <c r="P193" s="101">
        <f>O193/I193</f>
        <v>197.69338461538462</v>
      </c>
      <c r="Q193" s="101">
        <v>5651.4526153846155</v>
      </c>
    </row>
    <row r="194" spans="1:17" ht="35.25" x14ac:dyDescent="0.5">
      <c r="B194" s="114" t="s">
        <v>1073</v>
      </c>
      <c r="C194" s="119"/>
      <c r="D194" s="115" t="s">
        <v>776</v>
      </c>
      <c r="E194" s="115" t="s">
        <v>776</v>
      </c>
      <c r="F194" s="116" t="s">
        <v>776</v>
      </c>
      <c r="G194" s="115" t="s">
        <v>776</v>
      </c>
      <c r="H194" s="115" t="s">
        <v>776</v>
      </c>
      <c r="I194" s="101">
        <f>I195</f>
        <v>1707.6</v>
      </c>
      <c r="J194" s="101">
        <f>J195</f>
        <v>1346.4</v>
      </c>
      <c r="K194" s="101">
        <f>K195</f>
        <v>1242.0999999999999</v>
      </c>
      <c r="L194" s="117">
        <f>L195</f>
        <v>83</v>
      </c>
      <c r="M194" s="115" t="s">
        <v>776</v>
      </c>
      <c r="N194" s="115"/>
      <c r="O194" s="101">
        <v>10150</v>
      </c>
      <c r="P194" s="101">
        <f>O194/I194</f>
        <v>5.9440149918013585</v>
      </c>
      <c r="Q194" s="101">
        <f>Q195</f>
        <v>5.9440149918013585</v>
      </c>
    </row>
    <row r="195" spans="1:17" ht="35.25" x14ac:dyDescent="0.5">
      <c r="A195" s="6">
        <v>1</v>
      </c>
      <c r="B195" s="91">
        <f>SUBTOTAL(103,$A$65:A195)</f>
        <v>105</v>
      </c>
      <c r="C195" s="119" t="s">
        <v>1640</v>
      </c>
      <c r="D195" s="115">
        <v>1985</v>
      </c>
      <c r="E195" s="115"/>
      <c r="F195" s="116" t="s">
        <v>273</v>
      </c>
      <c r="G195" s="115">
        <v>5</v>
      </c>
      <c r="H195" s="115">
        <v>1</v>
      </c>
      <c r="I195" s="101">
        <v>1707.6</v>
      </c>
      <c r="J195" s="101">
        <v>1346.4</v>
      </c>
      <c r="K195" s="101">
        <v>1242.0999999999999</v>
      </c>
      <c r="L195" s="117">
        <v>83</v>
      </c>
      <c r="M195" s="115" t="s">
        <v>275</v>
      </c>
      <c r="N195" s="118" t="s">
        <v>1645</v>
      </c>
      <c r="O195" s="101">
        <v>10150</v>
      </c>
      <c r="P195" s="101">
        <f>O195/I195</f>
        <v>5.9440149918013585</v>
      </c>
      <c r="Q195" s="101">
        <v>5.9440149918013585</v>
      </c>
    </row>
    <row r="202" spans="1:17" ht="33" x14ac:dyDescent="0.45">
      <c r="C202" s="121"/>
    </row>
  </sheetData>
  <autoFilter ref="A10:Q194" xr:uid="{00000000-0009-0000-0000-000005000000}"/>
  <mergeCells count="23">
    <mergeCell ref="B62:Q62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  <mergeCell ref="B9:Q9"/>
    <mergeCell ref="J4:K4"/>
    <mergeCell ref="L4:L6"/>
    <mergeCell ref="M4:M7"/>
    <mergeCell ref="N4:N7"/>
    <mergeCell ref="O4:O6"/>
    <mergeCell ref="P4:P6"/>
    <mergeCell ref="Q4:Q6"/>
    <mergeCell ref="D5:D7"/>
    <mergeCell ref="E5:E7"/>
    <mergeCell ref="J5:J6"/>
    <mergeCell ref="K5:K6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6"/>
  <sheetViews>
    <sheetView topLeftCell="A4" zoomScale="60" zoomScaleNormal="60" workbookViewId="0">
      <selection activeCell="F19" sqref="F19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6"/>
      <c r="D1" s="340" t="s">
        <v>1088</v>
      </c>
      <c r="E1" s="340"/>
      <c r="F1" s="340"/>
    </row>
    <row r="2" spans="1:6" ht="53.25" customHeight="1" x14ac:dyDescent="0.25">
      <c r="C2" s="342" t="s">
        <v>1078</v>
      </c>
      <c r="D2" s="342"/>
      <c r="E2" s="342"/>
      <c r="F2" s="342"/>
    </row>
    <row r="3" spans="1:6" ht="104.25" customHeight="1" x14ac:dyDescent="0.25">
      <c r="A3" s="343" t="s">
        <v>1089</v>
      </c>
      <c r="B3" s="343"/>
      <c r="C3" s="343"/>
      <c r="D3" s="343"/>
      <c r="E3" s="343"/>
      <c r="F3" s="343"/>
    </row>
    <row r="4" spans="1:6" x14ac:dyDescent="0.25">
      <c r="A4" s="344" t="s">
        <v>6</v>
      </c>
      <c r="B4" s="344" t="s">
        <v>768</v>
      </c>
      <c r="C4" s="341" t="s">
        <v>769</v>
      </c>
      <c r="D4" s="341" t="s">
        <v>1090</v>
      </c>
      <c r="E4" s="341" t="s">
        <v>771</v>
      </c>
      <c r="F4" s="341" t="s">
        <v>772</v>
      </c>
    </row>
    <row r="5" spans="1:6" ht="156.75" customHeight="1" x14ac:dyDescent="0.25">
      <c r="A5" s="345"/>
      <c r="B5" s="345"/>
      <c r="C5" s="346"/>
      <c r="D5" s="341"/>
      <c r="E5" s="341"/>
      <c r="F5" s="341"/>
    </row>
    <row r="6" spans="1:6" ht="23.25" x14ac:dyDescent="0.25">
      <c r="A6" s="345"/>
      <c r="B6" s="345"/>
      <c r="C6" s="47" t="s">
        <v>773</v>
      </c>
      <c r="D6" s="47" t="s">
        <v>269</v>
      </c>
      <c r="E6" s="47" t="s">
        <v>37</v>
      </c>
      <c r="F6" s="47" t="s">
        <v>36</v>
      </c>
    </row>
    <row r="7" spans="1:6" ht="23.25" x14ac:dyDescent="0.35">
      <c r="A7" s="48">
        <v>1</v>
      </c>
      <c r="B7" s="48">
        <v>2</v>
      </c>
      <c r="C7" s="48">
        <v>3</v>
      </c>
      <c r="D7" s="48">
        <v>4</v>
      </c>
      <c r="E7" s="49">
        <v>5</v>
      </c>
      <c r="F7" s="49">
        <v>6</v>
      </c>
    </row>
    <row r="8" spans="1:6" ht="74.25" customHeight="1" x14ac:dyDescent="0.25">
      <c r="A8" s="337" t="s">
        <v>1042</v>
      </c>
      <c r="B8" s="338"/>
      <c r="C8" s="338"/>
      <c r="D8" s="338"/>
      <c r="E8" s="338"/>
      <c r="F8" s="339"/>
    </row>
    <row r="9" spans="1:6" ht="23.25" x14ac:dyDescent="0.35">
      <c r="A9" s="48"/>
      <c r="B9" s="50" t="s">
        <v>1091</v>
      </c>
      <c r="C9" s="51">
        <f>SUM(C10:C27)</f>
        <v>30909.18</v>
      </c>
      <c r="D9" s="87">
        <f>SUM(D10:D27)</f>
        <v>1298</v>
      </c>
      <c r="E9" s="52">
        <f>SUM(E10:E27)</f>
        <v>33</v>
      </c>
      <c r="F9" s="51">
        <v>85637540.319999993</v>
      </c>
    </row>
    <row r="10" spans="1:6" ht="23.25" x14ac:dyDescent="0.35">
      <c r="A10" s="48">
        <v>1</v>
      </c>
      <c r="B10" s="53" t="s">
        <v>921</v>
      </c>
      <c r="C10" s="54">
        <v>792.7</v>
      </c>
      <c r="D10" s="52">
        <v>42</v>
      </c>
      <c r="E10" s="52">
        <v>1</v>
      </c>
      <c r="F10" s="55">
        <v>2320165.87</v>
      </c>
    </row>
    <row r="11" spans="1:6" ht="23.25" x14ac:dyDescent="0.35">
      <c r="A11" s="48">
        <v>2</v>
      </c>
      <c r="B11" s="53" t="s">
        <v>1388</v>
      </c>
      <c r="C11" s="54">
        <v>10686.5</v>
      </c>
      <c r="D11" s="52">
        <v>373</v>
      </c>
      <c r="E11" s="52">
        <v>8</v>
      </c>
      <c r="F11" s="55">
        <v>23242998.57</v>
      </c>
    </row>
    <row r="12" spans="1:6" ht="23.25" x14ac:dyDescent="0.35">
      <c r="A12" s="48">
        <v>3</v>
      </c>
      <c r="B12" s="53" t="s">
        <v>925</v>
      </c>
      <c r="C12" s="54">
        <v>882.3</v>
      </c>
      <c r="D12" s="52">
        <v>29</v>
      </c>
      <c r="E12" s="52">
        <v>1</v>
      </c>
      <c r="F12" s="55">
        <v>2196540.5</v>
      </c>
    </row>
    <row r="13" spans="1:6" ht="23.25" x14ac:dyDescent="0.35">
      <c r="A13" s="48">
        <v>4</v>
      </c>
      <c r="B13" s="53" t="s">
        <v>930</v>
      </c>
      <c r="C13" s="54">
        <v>1813.2</v>
      </c>
      <c r="D13" s="52">
        <v>156</v>
      </c>
      <c r="E13" s="52">
        <v>1</v>
      </c>
      <c r="F13" s="55">
        <v>6235729.1299999999</v>
      </c>
    </row>
    <row r="14" spans="1:6" ht="23.25" x14ac:dyDescent="0.35">
      <c r="A14" s="48">
        <v>5</v>
      </c>
      <c r="B14" s="53" t="s">
        <v>931</v>
      </c>
      <c r="C14" s="54">
        <v>366.5</v>
      </c>
      <c r="D14" s="52">
        <v>13</v>
      </c>
      <c r="E14" s="52">
        <v>1</v>
      </c>
      <c r="F14" s="55">
        <v>1375440</v>
      </c>
    </row>
    <row r="15" spans="1:6" ht="23.25" x14ac:dyDescent="0.35">
      <c r="A15" s="48">
        <v>6</v>
      </c>
      <c r="B15" s="53" t="s">
        <v>1389</v>
      </c>
      <c r="C15" s="54">
        <v>874.3</v>
      </c>
      <c r="D15" s="52">
        <v>38</v>
      </c>
      <c r="E15" s="52">
        <v>2</v>
      </c>
      <c r="F15" s="55">
        <v>3273930.56</v>
      </c>
    </row>
    <row r="16" spans="1:6" ht="23.25" x14ac:dyDescent="0.35">
      <c r="A16" s="48">
        <v>7</v>
      </c>
      <c r="B16" s="53" t="s">
        <v>940</v>
      </c>
      <c r="C16" s="54">
        <v>845.48</v>
      </c>
      <c r="D16" s="52">
        <v>48</v>
      </c>
      <c r="E16" s="52">
        <v>2</v>
      </c>
      <c r="F16" s="55">
        <v>3465600.02</v>
      </c>
    </row>
    <row r="17" spans="1:6" ht="23.25" x14ac:dyDescent="0.35">
      <c r="A17" s="48">
        <v>8</v>
      </c>
      <c r="B17" s="53" t="s">
        <v>973</v>
      </c>
      <c r="C17" s="54">
        <v>2093.1</v>
      </c>
      <c r="D17" s="52">
        <v>110</v>
      </c>
      <c r="E17" s="52">
        <v>3</v>
      </c>
      <c r="F17" s="55">
        <v>5860829.3999999994</v>
      </c>
    </row>
    <row r="18" spans="1:6" ht="23.25" x14ac:dyDescent="0.35">
      <c r="A18" s="48">
        <v>9</v>
      </c>
      <c r="B18" s="53" t="s">
        <v>945</v>
      </c>
      <c r="C18" s="54">
        <v>755.8</v>
      </c>
      <c r="D18" s="52">
        <v>20</v>
      </c>
      <c r="E18" s="52">
        <v>1</v>
      </c>
      <c r="F18" s="55">
        <v>2144299</v>
      </c>
    </row>
    <row r="19" spans="1:6" ht="23.25" x14ac:dyDescent="0.35">
      <c r="A19" s="48">
        <v>10</v>
      </c>
      <c r="B19" s="53" t="s">
        <v>948</v>
      </c>
      <c r="C19" s="54">
        <v>1840.2</v>
      </c>
      <c r="D19" s="52">
        <v>77</v>
      </c>
      <c r="E19" s="52">
        <v>1</v>
      </c>
      <c r="F19" s="55">
        <v>5635847.5700000003</v>
      </c>
    </row>
    <row r="20" spans="1:6" ht="23.25" x14ac:dyDescent="0.35">
      <c r="A20" s="48">
        <v>11</v>
      </c>
      <c r="B20" s="53" t="s">
        <v>1390</v>
      </c>
      <c r="C20" s="54">
        <v>1542</v>
      </c>
      <c r="D20" s="52">
        <v>58</v>
      </c>
      <c r="E20" s="52">
        <v>3</v>
      </c>
      <c r="F20" s="55">
        <v>7696939.6800000006</v>
      </c>
    </row>
    <row r="21" spans="1:6" ht="23.25" x14ac:dyDescent="0.35">
      <c r="A21" s="48">
        <v>12</v>
      </c>
      <c r="B21" s="53" t="s">
        <v>1391</v>
      </c>
      <c r="C21" s="54">
        <v>970.5</v>
      </c>
      <c r="D21" s="52">
        <v>38</v>
      </c>
      <c r="E21" s="52">
        <v>1</v>
      </c>
      <c r="F21" s="55">
        <v>3809937.89</v>
      </c>
    </row>
    <row r="22" spans="1:6" ht="23.25" x14ac:dyDescent="0.35">
      <c r="A22" s="48">
        <v>13</v>
      </c>
      <c r="B22" s="53" t="s">
        <v>961</v>
      </c>
      <c r="C22" s="54">
        <v>465</v>
      </c>
      <c r="D22" s="52">
        <v>26</v>
      </c>
      <c r="E22" s="52">
        <v>1</v>
      </c>
      <c r="F22" s="55">
        <v>1692000</v>
      </c>
    </row>
    <row r="23" spans="1:6" ht="23.25" x14ac:dyDescent="0.35">
      <c r="A23" s="48">
        <v>14</v>
      </c>
      <c r="B23" s="53" t="s">
        <v>988</v>
      </c>
      <c r="C23" s="54">
        <v>943.2</v>
      </c>
      <c r="D23" s="52">
        <v>31</v>
      </c>
      <c r="E23" s="52">
        <v>1</v>
      </c>
      <c r="F23" s="55">
        <v>3214510.5</v>
      </c>
    </row>
    <row r="24" spans="1:6" ht="23.25" x14ac:dyDescent="0.35">
      <c r="A24" s="48">
        <v>15</v>
      </c>
      <c r="B24" s="53" t="s">
        <v>968</v>
      </c>
      <c r="C24" s="54">
        <v>2249.1999999999998</v>
      </c>
      <c r="D24" s="52">
        <v>104</v>
      </c>
      <c r="E24" s="52">
        <v>3</v>
      </c>
      <c r="F24" s="55">
        <v>6200280.5599999996</v>
      </c>
    </row>
    <row r="25" spans="1:6" ht="23.25" x14ac:dyDescent="0.35">
      <c r="A25" s="48">
        <v>16</v>
      </c>
      <c r="B25" s="53" t="s">
        <v>967</v>
      </c>
      <c r="C25" s="54">
        <v>940.4</v>
      </c>
      <c r="D25" s="52">
        <v>26</v>
      </c>
      <c r="E25" s="52">
        <v>1</v>
      </c>
      <c r="F25" s="55">
        <v>2164797.61</v>
      </c>
    </row>
    <row r="26" spans="1:6" ht="23.25" x14ac:dyDescent="0.35">
      <c r="A26" s="48">
        <v>17</v>
      </c>
      <c r="B26" s="53" t="s">
        <v>942</v>
      </c>
      <c r="C26" s="54">
        <v>1743.7</v>
      </c>
      <c r="D26" s="52">
        <v>65</v>
      </c>
      <c r="E26" s="52">
        <v>1</v>
      </c>
      <c r="F26" s="55">
        <v>3748625</v>
      </c>
    </row>
    <row r="27" spans="1:6" ht="23.25" x14ac:dyDescent="0.35">
      <c r="A27" s="48">
        <v>18</v>
      </c>
      <c r="B27" s="53" t="s">
        <v>937</v>
      </c>
      <c r="C27" s="54">
        <v>1105.0999999999999</v>
      </c>
      <c r="D27" s="52">
        <v>44</v>
      </c>
      <c r="E27" s="52">
        <v>1</v>
      </c>
      <c r="F27" s="55">
        <v>1359068.46</v>
      </c>
    </row>
    <row r="28" spans="1:6" ht="72" customHeight="1" x14ac:dyDescent="0.25">
      <c r="A28" s="337" t="s">
        <v>1433</v>
      </c>
      <c r="B28" s="338"/>
      <c r="C28" s="338"/>
      <c r="D28" s="338"/>
      <c r="E28" s="338"/>
      <c r="F28" s="339"/>
    </row>
    <row r="29" spans="1:6" ht="23.25" x14ac:dyDescent="0.35">
      <c r="A29" s="48"/>
      <c r="B29" s="50" t="s">
        <v>1091</v>
      </c>
      <c r="C29" s="51">
        <f>SUM(C30:C56)</f>
        <v>271472.9200000001</v>
      </c>
      <c r="D29" s="87">
        <f>SUM(D30:D56)</f>
        <v>11375</v>
      </c>
      <c r="E29" s="100">
        <f>SUM(E30:E56)</f>
        <v>105</v>
      </c>
      <c r="F29" s="51">
        <v>44635323.25999999</v>
      </c>
    </row>
    <row r="30" spans="1:6" ht="23.25" x14ac:dyDescent="0.35">
      <c r="A30" s="48">
        <v>1</v>
      </c>
      <c r="B30" s="53" t="s">
        <v>921</v>
      </c>
      <c r="C30" s="54">
        <v>13682.619999999999</v>
      </c>
      <c r="D30" s="87">
        <v>744</v>
      </c>
      <c r="E30" s="100">
        <v>6</v>
      </c>
      <c r="F30" s="55">
        <v>3987879.6799999997</v>
      </c>
    </row>
    <row r="31" spans="1:6" ht="23.25" x14ac:dyDescent="0.35">
      <c r="A31" s="48">
        <v>2</v>
      </c>
      <c r="B31" s="53" t="s">
        <v>925</v>
      </c>
      <c r="C31" s="54">
        <v>1994.9</v>
      </c>
      <c r="D31" s="87">
        <v>91</v>
      </c>
      <c r="E31" s="100">
        <v>2</v>
      </c>
      <c r="F31" s="55">
        <v>36746.29</v>
      </c>
    </row>
    <row r="32" spans="1:6" ht="23.25" x14ac:dyDescent="0.35">
      <c r="A32" s="48">
        <v>3</v>
      </c>
      <c r="B32" s="53" t="s">
        <v>1388</v>
      </c>
      <c r="C32" s="54">
        <v>25020.739999999998</v>
      </c>
      <c r="D32" s="87">
        <v>980</v>
      </c>
      <c r="E32" s="100">
        <v>15</v>
      </c>
      <c r="F32" s="55">
        <v>1767174.4000000001</v>
      </c>
    </row>
    <row r="33" spans="1:6" ht="23.25" x14ac:dyDescent="0.35">
      <c r="A33" s="48">
        <v>4</v>
      </c>
      <c r="B33" s="53" t="s">
        <v>930</v>
      </c>
      <c r="C33" s="54">
        <v>13339.4</v>
      </c>
      <c r="D33" s="87">
        <v>416</v>
      </c>
      <c r="E33" s="100">
        <v>6</v>
      </c>
      <c r="F33" s="55">
        <v>7687526.0199999996</v>
      </c>
    </row>
    <row r="34" spans="1:6" ht="23.25" x14ac:dyDescent="0.35">
      <c r="A34" s="48">
        <v>5</v>
      </c>
      <c r="B34" s="53" t="s">
        <v>929</v>
      </c>
      <c r="C34" s="54">
        <v>3874.7000000000003</v>
      </c>
      <c r="D34" s="87">
        <v>141</v>
      </c>
      <c r="E34" s="100">
        <v>4</v>
      </c>
      <c r="F34" s="55">
        <v>3993831.15</v>
      </c>
    </row>
    <row r="35" spans="1:6" ht="23.25" x14ac:dyDescent="0.35">
      <c r="A35" s="48">
        <v>6</v>
      </c>
      <c r="B35" s="53" t="s">
        <v>973</v>
      </c>
      <c r="C35" s="54">
        <v>60449.319999999992</v>
      </c>
      <c r="D35" s="87">
        <v>2015</v>
      </c>
      <c r="E35" s="100">
        <v>26</v>
      </c>
      <c r="F35" s="55">
        <v>9209002.0300000031</v>
      </c>
    </row>
    <row r="36" spans="1:6" ht="23.25" x14ac:dyDescent="0.35">
      <c r="A36" s="48">
        <v>7</v>
      </c>
      <c r="B36" s="53" t="s">
        <v>1613</v>
      </c>
      <c r="C36" s="54">
        <v>42587.08</v>
      </c>
      <c r="D36" s="87">
        <v>2005</v>
      </c>
      <c r="E36" s="100">
        <v>13</v>
      </c>
      <c r="F36" s="55">
        <v>5724003.1600000001</v>
      </c>
    </row>
    <row r="37" spans="1:6" ht="23.25" x14ac:dyDescent="0.35">
      <c r="A37" s="48">
        <v>8</v>
      </c>
      <c r="B37" s="53" t="s">
        <v>1614</v>
      </c>
      <c r="C37" s="54">
        <v>39280</v>
      </c>
      <c r="D37" s="87">
        <v>1995</v>
      </c>
      <c r="E37" s="100">
        <v>5</v>
      </c>
      <c r="F37" s="55">
        <v>1542530.93</v>
      </c>
    </row>
    <row r="38" spans="1:6" ht="23.25" x14ac:dyDescent="0.35">
      <c r="A38" s="48">
        <v>9</v>
      </c>
      <c r="B38" s="53" t="s">
        <v>928</v>
      </c>
      <c r="C38" s="54">
        <v>6959.2</v>
      </c>
      <c r="D38" s="87">
        <v>259</v>
      </c>
      <c r="E38" s="100">
        <v>2</v>
      </c>
      <c r="F38" s="55">
        <v>3231773.15</v>
      </c>
    </row>
    <row r="39" spans="1:6" ht="23.25" x14ac:dyDescent="0.35">
      <c r="A39" s="48">
        <v>10</v>
      </c>
      <c r="B39" s="53" t="s">
        <v>1615</v>
      </c>
      <c r="C39" s="54">
        <v>978.6</v>
      </c>
      <c r="D39" s="87">
        <v>30</v>
      </c>
      <c r="E39" s="100">
        <v>1</v>
      </c>
      <c r="F39" s="55">
        <v>13131.869999999999</v>
      </c>
    </row>
    <row r="40" spans="1:6" ht="23.25" x14ac:dyDescent="0.35">
      <c r="A40" s="48">
        <v>11</v>
      </c>
      <c r="B40" s="53" t="s">
        <v>989</v>
      </c>
      <c r="C40" s="54">
        <v>3121</v>
      </c>
      <c r="D40" s="87">
        <v>171</v>
      </c>
      <c r="E40" s="100">
        <v>1</v>
      </c>
      <c r="F40" s="55">
        <v>778244.79</v>
      </c>
    </row>
    <row r="41" spans="1:6" ht="23.25" x14ac:dyDescent="0.35">
      <c r="A41" s="48">
        <v>12</v>
      </c>
      <c r="B41" s="53" t="s">
        <v>956</v>
      </c>
      <c r="C41" s="54">
        <v>6289.82</v>
      </c>
      <c r="D41" s="87">
        <v>266</v>
      </c>
      <c r="E41" s="100">
        <v>4</v>
      </c>
      <c r="F41" s="55">
        <v>969598.97000000009</v>
      </c>
    </row>
    <row r="42" spans="1:6" ht="23.25" x14ac:dyDescent="0.35">
      <c r="A42" s="48">
        <v>13</v>
      </c>
      <c r="B42" s="53" t="s">
        <v>937</v>
      </c>
      <c r="C42" s="54">
        <v>5085.1000000000004</v>
      </c>
      <c r="D42" s="87">
        <v>199</v>
      </c>
      <c r="E42" s="100">
        <v>1</v>
      </c>
      <c r="F42" s="55">
        <v>425208.96</v>
      </c>
    </row>
    <row r="43" spans="1:6" ht="23.25" x14ac:dyDescent="0.35">
      <c r="A43" s="48">
        <v>14</v>
      </c>
      <c r="B43" s="53" t="s">
        <v>940</v>
      </c>
      <c r="C43" s="54">
        <v>3387.86</v>
      </c>
      <c r="D43" s="87">
        <v>59</v>
      </c>
      <c r="E43" s="100">
        <v>1</v>
      </c>
      <c r="F43" s="55">
        <v>354821.67</v>
      </c>
    </row>
    <row r="44" spans="1:6" ht="23.25" x14ac:dyDescent="0.35">
      <c r="A44" s="48">
        <v>15</v>
      </c>
      <c r="B44" s="53" t="s">
        <v>952</v>
      </c>
      <c r="C44" s="54">
        <v>15972.619999999999</v>
      </c>
      <c r="D44" s="87">
        <v>615</v>
      </c>
      <c r="E44" s="100">
        <v>2</v>
      </c>
      <c r="F44" s="55">
        <v>1988549.43</v>
      </c>
    </row>
    <row r="45" spans="1:6" ht="23.25" x14ac:dyDescent="0.35">
      <c r="A45" s="48">
        <v>16</v>
      </c>
      <c r="B45" s="53" t="s">
        <v>955</v>
      </c>
      <c r="C45" s="54">
        <v>2614.9</v>
      </c>
      <c r="D45" s="87">
        <v>148</v>
      </c>
      <c r="E45" s="100">
        <v>2</v>
      </c>
      <c r="F45" s="55">
        <v>582142.44999999995</v>
      </c>
    </row>
    <row r="46" spans="1:6" ht="23.25" x14ac:dyDescent="0.35">
      <c r="A46" s="48">
        <v>17</v>
      </c>
      <c r="B46" s="53" t="s">
        <v>988</v>
      </c>
      <c r="C46" s="54">
        <v>677.1</v>
      </c>
      <c r="D46" s="87">
        <v>37</v>
      </c>
      <c r="E46" s="100">
        <v>1</v>
      </c>
      <c r="F46" s="55">
        <v>39585</v>
      </c>
    </row>
    <row r="47" spans="1:6" ht="23.25" x14ac:dyDescent="0.35">
      <c r="A47" s="48">
        <v>18</v>
      </c>
      <c r="B47" s="53" t="s">
        <v>932</v>
      </c>
      <c r="C47" s="54">
        <v>805.6</v>
      </c>
      <c r="D47" s="87">
        <v>44</v>
      </c>
      <c r="E47" s="100">
        <v>1</v>
      </c>
      <c r="F47" s="55">
        <v>275468.56</v>
      </c>
    </row>
    <row r="48" spans="1:6" ht="23.25" x14ac:dyDescent="0.35">
      <c r="A48" s="48">
        <v>19</v>
      </c>
      <c r="B48" s="53" t="s">
        <v>986</v>
      </c>
      <c r="C48" s="54">
        <v>12931.86</v>
      </c>
      <c r="D48" s="87">
        <v>621</v>
      </c>
      <c r="E48" s="100">
        <v>3</v>
      </c>
      <c r="F48" s="55">
        <v>274179.65000000002</v>
      </c>
    </row>
    <row r="49" spans="1:6" ht="23.25" x14ac:dyDescent="0.35">
      <c r="A49" s="48">
        <v>20</v>
      </c>
      <c r="B49" s="53" t="s">
        <v>1393</v>
      </c>
      <c r="C49" s="54">
        <v>418.1</v>
      </c>
      <c r="D49" s="87">
        <v>12</v>
      </c>
      <c r="E49" s="100">
        <v>1</v>
      </c>
      <c r="F49" s="55">
        <v>222776.05000000002</v>
      </c>
    </row>
    <row r="50" spans="1:6" ht="23.25" x14ac:dyDescent="0.35">
      <c r="A50" s="48">
        <v>21</v>
      </c>
      <c r="B50" s="53" t="s">
        <v>995</v>
      </c>
      <c r="C50" s="54">
        <v>344.6</v>
      </c>
      <c r="D50" s="87">
        <v>15</v>
      </c>
      <c r="E50" s="100">
        <v>1</v>
      </c>
      <c r="F50" s="55">
        <v>137665.16</v>
      </c>
    </row>
    <row r="51" spans="1:6" ht="23.25" x14ac:dyDescent="0.35">
      <c r="A51" s="48">
        <v>22</v>
      </c>
      <c r="B51" s="53" t="s">
        <v>944</v>
      </c>
      <c r="C51" s="54">
        <v>3508.9</v>
      </c>
      <c r="D51" s="87">
        <v>145</v>
      </c>
      <c r="E51" s="100">
        <v>1</v>
      </c>
      <c r="F51" s="55">
        <v>1114586.8</v>
      </c>
    </row>
    <row r="52" spans="1:6" ht="23.25" x14ac:dyDescent="0.35">
      <c r="A52" s="48">
        <v>23</v>
      </c>
      <c r="B52" s="53" t="s">
        <v>951</v>
      </c>
      <c r="C52" s="54">
        <v>719.4</v>
      </c>
      <c r="D52" s="87">
        <v>30</v>
      </c>
      <c r="E52" s="100">
        <v>1</v>
      </c>
      <c r="F52" s="55">
        <v>40586.949999999997</v>
      </c>
    </row>
    <row r="53" spans="1:6" ht="23.25" x14ac:dyDescent="0.35">
      <c r="A53" s="48">
        <v>24</v>
      </c>
      <c r="B53" s="53" t="s">
        <v>966</v>
      </c>
      <c r="C53" s="54">
        <v>930</v>
      </c>
      <c r="D53" s="87">
        <v>45</v>
      </c>
      <c r="E53" s="100">
        <v>1</v>
      </c>
      <c r="F53" s="55">
        <v>39622.869999999995</v>
      </c>
    </row>
    <row r="54" spans="1:6" ht="23.25" x14ac:dyDescent="0.35">
      <c r="A54" s="48">
        <v>25</v>
      </c>
      <c r="B54" s="53" t="s">
        <v>942</v>
      </c>
      <c r="C54" s="54">
        <v>3791.9</v>
      </c>
      <c r="D54" s="87">
        <v>155</v>
      </c>
      <c r="E54" s="100">
        <v>1</v>
      </c>
      <c r="F54" s="55">
        <v>8028.65</v>
      </c>
    </row>
    <row r="55" spans="1:6" ht="23.25" x14ac:dyDescent="0.35">
      <c r="A55" s="48">
        <v>26</v>
      </c>
      <c r="B55" s="53" t="s">
        <v>946</v>
      </c>
      <c r="C55" s="54">
        <v>1000</v>
      </c>
      <c r="D55" s="87">
        <v>54</v>
      </c>
      <c r="E55" s="100">
        <v>2</v>
      </c>
      <c r="F55" s="55">
        <v>180508.62</v>
      </c>
    </row>
    <row r="56" spans="1:6" ht="23.25" x14ac:dyDescent="0.35">
      <c r="A56" s="48">
        <v>27</v>
      </c>
      <c r="B56" s="53" t="s">
        <v>1389</v>
      </c>
      <c r="C56" s="54">
        <v>1707.6</v>
      </c>
      <c r="D56" s="87">
        <v>83</v>
      </c>
      <c r="E56" s="100">
        <v>1</v>
      </c>
      <c r="F56" s="55">
        <v>10150</v>
      </c>
    </row>
  </sheetData>
  <mergeCells count="11">
    <mergeCell ref="A28:F28"/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Татьяна Николаевна Базжина</cp:lastModifiedBy>
  <cp:lastPrinted>2020-08-10T07:04:33Z</cp:lastPrinted>
  <dcterms:created xsi:type="dcterms:W3CDTF">2019-03-21T15:19:46Z</dcterms:created>
  <dcterms:modified xsi:type="dcterms:W3CDTF">2020-08-10T07:08:42Z</dcterms:modified>
</cp:coreProperties>
</file>